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8" yWindow="65524" windowWidth="12936" windowHeight="12552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<sst xmlns="http://schemas.openxmlformats.org/spreadsheetml/2006/main" count="168" uniqueCount="113">
  <si>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</si>
  <si>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</si>
  <si>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</si>
  <si>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</si>
  <si>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</si>
  <si>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</si>
  <si>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</si>
  <si>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</si>
  <si>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</si>
  <si>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</si>
  <si>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</si>
  <si>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</si>
  <si>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</si>
  <si>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</si>
  <si>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</si>
  <si>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</si>
  <si>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</si>
  <si>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</si>
  <si>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</si>
  <si>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</si>
  <si>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</si>
  <si>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</si>
  <si>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</si>
  <si>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</si>
  <si>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</si>
  <si>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</si>
  <si>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</si>
  <si>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</si>
  <si>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</si>
  <si>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</si>
  <si>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</si>
  <si>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</si>
  <si>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</si>
  <si>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</si>
  <si>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</si>
  <si>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</si>
  <si>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</si>
  <si>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</si>
  <si>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</si>
  <si>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</si>
  <si>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</si>
  <si>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</si>
  <si>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</si>
  <si>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</si>
  <si>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</si>
  <si>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</si>
  <si>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</si>
  <si>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</si>
  <si>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</si>
  <si>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</si>
  <si>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</si>
  <si>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</si>
  <si>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</si>
  <si>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</si>
  <si>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</si>
  <si>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</si>
  <si>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</si>
  <si>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</si>
  <si>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</si>
  <si>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</si>
  <si>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</si>
  <si>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</si>
  <si>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</si>
  <si>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</si>
  <si>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</si>
  <si>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</si>
  <si>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</si>
  <si>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</si>
  <si>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</si>
  <si>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</si>
  <si>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</si>
  <si>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</si>
  <si>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</si>
  <si>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</si>
  <si>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</si>
  <si>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</si>
  <si>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</si>
  <si>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</si>
  <si>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</si>
  <si>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</si>
  <si>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</si>
  <si>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</si>
  <si>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</si>
  <si>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</si>
  <si>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</si>
  <si>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</si>
  <si>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</si>
  <si>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</si>
  <si>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</si>
  <si>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</si>
  <si>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</si>
  <si>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</si>
  <si>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</si>
  <si>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</si>
  <si>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</si>
  <si>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</si>
  <si>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</si>
  <si>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</si>
  <si>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</si>
  <si>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</si>
  <si>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</si>
  <si>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</si>
  <si>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</si>
  <si>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</si>
  <si>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</si>
  <si>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</si>
  <si>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</si>
  <si>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</si>
  <si>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</si>
  <si>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</si>
  <si>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</si>
  <si>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</si>
  <si>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25.04.2019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</si>
</sst>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190" fontId="3" fillId="25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6" borderId="10" xfId="0" applyNumberFormat="1" applyFont="1" applyFill="1" applyBorder="1" applyAlignment="1">
      <alignment wrapText="1"/>
    </xf>
    <xf numFmtId="190" fontId="5" fillId="26" borderId="10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6" xfId="0" applyNumberFormat="1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0" fillId="2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25" borderId="12" xfId="0" applyNumberFormat="1" applyFont="1" applyFill="1" applyBorder="1" applyAlignment="1">
      <alignment/>
    </xf>
    <xf numFmtId="190" fontId="5" fillId="25" borderId="14" xfId="0" applyNumberFormat="1" applyFont="1" applyFill="1" applyBorder="1" applyAlignment="1">
      <alignment wrapText="1"/>
    </xf>
    <xf numFmtId="190" fontId="4" fillId="25" borderId="13" xfId="0" applyNumberFormat="1" applyFont="1" applyFill="1" applyBorder="1" applyAlignment="1">
      <alignment vertical="center" wrapText="1"/>
    </xf>
    <xf numFmtId="190" fontId="4" fillId="25" borderId="13" xfId="0" applyNumberFormat="1" applyFont="1" applyFill="1" applyBorder="1" applyAlignment="1">
      <alignment/>
    </xf>
    <xf numFmtId="190" fontId="4" fillId="25" borderId="11" xfId="0" applyNumberFormat="1" applyFont="1" applyFill="1" applyBorder="1" applyAlignment="1">
      <alignment/>
    </xf>
    <xf numFmtId="189" fontId="4" fillId="25" borderId="11" xfId="0" applyNumberFormat="1" applyFont="1" applyFill="1" applyBorder="1" applyAlignment="1">
      <alignment/>
    </xf>
    <xf numFmtId="0" fontId="3" fillId="25" borderId="13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225"/>
          <c:w val="0.85325"/>
          <c:h val="0.64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208530.69999999998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69869.00000000001</c:v>
                </c:pt>
              </c:numCache>
            </c:numRef>
          </c:val>
          <c:shape val="box"/>
        </c:ser>
        <c:shape val="box"/>
        <c:axId val="18067794"/>
        <c:axId val="28392419"/>
      </c:bar3DChart>
      <c:catAx>
        <c:axId val="1806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92419"/>
        <c:crosses val="autoZero"/>
        <c:auto val="1"/>
        <c:lblOffset val="100"/>
        <c:tickLblSkip val="1"/>
        <c:noMultiLvlLbl val="0"/>
      </c:catAx>
      <c:valAx>
        <c:axId val="28392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7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875"/>
          <c:w val="0.843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297791.3</c:v>
                </c:pt>
              </c:numCache>
            </c:numRef>
          </c:val>
          <c:shape val="box"/>
        </c:ser>
        <c:shape val="box"/>
        <c:axId val="54205180"/>
        <c:axId val="18084573"/>
      </c:bar3D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84573"/>
        <c:crosses val="autoZero"/>
        <c:auto val="1"/>
        <c:lblOffset val="100"/>
        <c:tickLblSkip val="1"/>
        <c:noMultiLvlLbl val="0"/>
      </c:catAx>
      <c:valAx>
        <c:axId val="18084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825"/>
          <c:w val="0.929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132835.69999999995</c:v>
                </c:pt>
              </c:numCache>
            </c:numRef>
          </c:val>
          <c:shape val="box"/>
        </c:ser>
        <c:shape val="box"/>
        <c:axId val="28543430"/>
        <c:axId val="55564279"/>
      </c:bar3D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64279"/>
        <c:crosses val="autoZero"/>
        <c:auto val="1"/>
        <c:lblOffset val="100"/>
        <c:tickLblSkip val="1"/>
        <c:noMultiLvlLbl val="0"/>
      </c:catAx>
      <c:valAx>
        <c:axId val="55564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3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26934.8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7949.599999999998</c:v>
                </c:pt>
              </c:numCache>
            </c:numRef>
          </c:val>
          <c:shape val="box"/>
        </c:ser>
        <c:shape val="box"/>
        <c:axId val="30316464"/>
        <c:axId val="4412721"/>
      </c:bar3D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2721"/>
        <c:crosses val="autoZero"/>
        <c:auto val="1"/>
        <c:lblOffset val="100"/>
        <c:tickLblSkip val="1"/>
        <c:noMultiLvlLbl val="0"/>
      </c:catAx>
      <c:valAx>
        <c:axId val="4412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825"/>
          <c:w val="0.86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54593.8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13891.1</c:v>
                </c:pt>
              </c:numCache>
            </c:numRef>
          </c:val>
          <c:shape val="box"/>
        </c:ser>
        <c:shape val="box"/>
        <c:axId val="39714490"/>
        <c:axId val="21886091"/>
      </c:bar3D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86091"/>
        <c:crosses val="autoZero"/>
        <c:auto val="1"/>
        <c:lblOffset val="100"/>
        <c:tickLblSkip val="2"/>
        <c:noMultiLvlLbl val="0"/>
      </c:catAx>
      <c:valAx>
        <c:axId val="21886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4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22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725"/>
          <c:w val="0.8775"/>
          <c:h val="0.68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1459.2999999999997</c:v>
                </c:pt>
              </c:numCache>
            </c:numRef>
          </c:val>
          <c:shape val="box"/>
        </c:ser>
        <c:shape val="box"/>
        <c:axId val="62757092"/>
        <c:axId val="27942917"/>
      </c:bar3D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09975"/>
          <c:w val="0.85275"/>
          <c:h val="0.72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130067.1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27832.499999999993</c:v>
                </c:pt>
              </c:numCache>
            </c:numRef>
          </c:val>
          <c:shape val="box"/>
        </c:ser>
        <c:shape val="box"/>
        <c:axId val="50159662"/>
        <c:axId val="48783775"/>
      </c:bar3D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9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775"/>
          <c:w val="0.85125"/>
          <c:h val="0.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26934.8</c:v>
                </c:pt>
                <c:pt idx="3">
                  <c:v>54593.8</c:v>
                </c:pt>
                <c:pt idx="4">
                  <c:v>10268.5</c:v>
                </c:pt>
                <c:pt idx="5">
                  <c:v>208530.69999999998</c:v>
                </c:pt>
                <c:pt idx="6">
                  <c:v>130067.1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297791.3</c:v>
                </c:pt>
                <c:pt idx="1">
                  <c:v>132835.69999999995</c:v>
                </c:pt>
                <c:pt idx="2">
                  <c:v>7949.599999999998</c:v>
                </c:pt>
                <c:pt idx="3">
                  <c:v>13891.1</c:v>
                </c:pt>
                <c:pt idx="4">
                  <c:v>1459.2999999999997</c:v>
                </c:pt>
                <c:pt idx="5">
                  <c:v>69869.00000000001</c:v>
                </c:pt>
                <c:pt idx="6">
                  <c:v>27832.499999999993</c:v>
                </c:pt>
              </c:numCache>
            </c:numRef>
          </c:val>
          <c:shape val="box"/>
        </c:ser>
        <c:shape val="box"/>
        <c:axId val="36400792"/>
        <c:axId val="59171673"/>
      </c:bar3D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0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55"/>
          <c:w val="0.231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5"/>
          <c:w val="0.84125"/>
          <c:h val="0.4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987214.6</c:v>
                </c:pt>
                <c:pt idx="1">
                  <c:v>125178.8</c:v>
                </c:pt>
                <c:pt idx="2">
                  <c:v>48385.3</c:v>
                </c:pt>
                <c:pt idx="3">
                  <c:v>90004.20000000001</c:v>
                </c:pt>
                <c:pt idx="4">
                  <c:v>122.9</c:v>
                </c:pt>
                <c:pt idx="5">
                  <c:v>1257076.6000000003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314753.29999999993</c:v>
                </c:pt>
                <c:pt idx="1">
                  <c:v>50063.39999999999</c:v>
                </c:pt>
                <c:pt idx="2">
                  <c:v>17478.7</c:v>
                </c:pt>
                <c:pt idx="3">
                  <c:v>23002.800000000003</c:v>
                </c:pt>
                <c:pt idx="4">
                  <c:v>36.599999999999994</c:v>
                </c:pt>
                <c:pt idx="5">
                  <c:v>330472.98516999994</c:v>
                </c:pt>
              </c:numCache>
            </c:numRef>
          </c:val>
          <c:shape val="box"/>
        </c:ser>
        <c:shape val="box"/>
        <c:axId val="62783010"/>
        <c:axId val="28176179"/>
      </c:bar3D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25"/>
          <c:y val="0.9125"/>
          <c:w val="0.502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628650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18776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10871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64" zoomScaleNormal="80" zoomScaleSheetLayoutView="64" workbookViewId="0" topLeftCell="A130">
      <selection activeCell="D154" sqref="D154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50390625" style="134" customWidth="1"/>
    <col min="4" max="4" width="19.00390625" style="134" customWidth="1"/>
    <col min="5" max="5" width="17.375" style="134" customWidth="1"/>
    <col min="6" max="7" width="19.50390625" style="134" customWidth="1"/>
    <col min="8" max="8" width="19.625" style="134" customWidth="1"/>
    <col min="9" max="9" width="21.00390625" style="134" customWidth="1"/>
    <col min="10" max="10" width="9.125" style="134" customWidth="1"/>
    <col min="11" max="11" width="15.50390625" style="134" customWidth="1"/>
    <col min="12" max="12" width="9.125" style="134" customWidth="1"/>
    <col min="13" max="13" width="11.50390625" style="134" bestFit="1" customWidth="1"/>
    <col min="14" max="16384" width="9.125" style="134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</f>
        <v>297791.3</v>
      </c>
      <c r="E6" s="3">
        <f>D6/D156*100</f>
        <v>40.65333731990988</v>
      </c>
      <c r="F6" s="3">
        <f>D6/B6*100</f>
        <v>90.41793861723917</v>
      </c>
      <c r="G6" s="3">
        <f aca="true" t="shared" si="0" ref="G6:G43">D6/C6*100</f>
        <v>32.365724240103305</v>
      </c>
      <c r="H6" s="36">
        <f aca="true" t="shared" si="1" ref="H6:H12">B6-D6</f>
        <v>31558.5</v>
      </c>
      <c r="I6" s="36">
        <f aca="true" t="shared" si="2" ref="I6:I43">C6-D6</f>
        <v>622291</v>
      </c>
      <c r="J6" s="142"/>
      <c r="L6" s="143">
        <f>H6-H7</f>
        <v>31496.39999999998</v>
      </c>
    </row>
    <row r="7" spans="1:9" s="84" customFormat="1" ht="18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12060.7+9623.1+1044.7+273.5+10510.2+12398.6+40.7+10550.7+12514+8.7+10597.9+12396.7</f>
        <v>92019.49999999999</v>
      </c>
      <c r="E7" s="129">
        <f>D7/D6*100</f>
        <v>30.900667682366805</v>
      </c>
      <c r="F7" s="129">
        <f>D7/B7*100</f>
        <v>99.93255981651055</v>
      </c>
      <c r="G7" s="129">
        <f>D7/C7*100</f>
        <v>30.77993199076529</v>
      </c>
      <c r="H7" s="128">
        <f t="shared" si="1"/>
        <v>62.10000000002037</v>
      </c>
      <c r="I7" s="128">
        <f t="shared" si="2"/>
        <v>206939.90000000002</v>
      </c>
    </row>
    <row r="8" spans="1:9" s="142" customFormat="1" ht="17.25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20722.3+1.9+16592.9+1044.7+15069.2+2403.3+273.5+14243.2+10510.2+12398.6+19789.8+60.7+23573.1+21765.1+12514+5.3+4.8+8.7+13704.4+10597.9+33709.4</f>
        <v>228992.99999999997</v>
      </c>
      <c r="E8" s="94">
        <f>D8/D6*100</f>
        <v>76.8971423946905</v>
      </c>
      <c r="F8" s="94">
        <f>D8/B8*100</f>
        <v>97.24140215347454</v>
      </c>
      <c r="G8" s="94">
        <f t="shared" si="0"/>
        <v>31.392891719179396</v>
      </c>
      <c r="H8" s="92">
        <f t="shared" si="1"/>
        <v>6496.200000000041</v>
      </c>
      <c r="I8" s="92">
        <f t="shared" si="2"/>
        <v>500449.19999999995</v>
      </c>
    </row>
    <row r="9" spans="1:9" s="142" customFormat="1" ht="17.25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0.012290486659616986</v>
      </c>
      <c r="F9" s="94">
        <f>D9/B9*100</f>
        <v>70.79303675048354</v>
      </c>
      <c r="G9" s="94">
        <f t="shared" si="0"/>
        <v>34.890371782650135</v>
      </c>
      <c r="H9" s="92">
        <f t="shared" si="1"/>
        <v>15.100000000000009</v>
      </c>
      <c r="I9" s="92">
        <f t="shared" si="2"/>
        <v>68.30000000000001</v>
      </c>
    </row>
    <row r="10" spans="1:9" s="142" customFormat="1" ht="17.25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</f>
        <v>16508</v>
      </c>
      <c r="E10" s="94">
        <f>D10/D6*100</f>
        <v>5.543479611392274</v>
      </c>
      <c r="F10" s="94">
        <f aca="true" t="shared" si="3" ref="F10:F41">D10/B10*100</f>
        <v>86.6261557675556</v>
      </c>
      <c r="G10" s="94">
        <f t="shared" si="0"/>
        <v>38.00201658387009</v>
      </c>
      <c r="H10" s="92">
        <f t="shared" si="1"/>
        <v>2548.5999999999985</v>
      </c>
      <c r="I10" s="92">
        <f t="shared" si="2"/>
        <v>26931.800000000003</v>
      </c>
    </row>
    <row r="11" spans="1:9" s="142" customFormat="1" ht="17.25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</f>
        <v>41819.499999999985</v>
      </c>
      <c r="E11" s="94">
        <f>D11/D6*100</f>
        <v>14.043224231198154</v>
      </c>
      <c r="F11" s="94">
        <f t="shared" si="3"/>
        <v>71.29243374003349</v>
      </c>
      <c r="G11" s="94">
        <f t="shared" si="0"/>
        <v>42.57551339128911</v>
      </c>
      <c r="H11" s="92">
        <f t="shared" si="1"/>
        <v>16839.600000000013</v>
      </c>
      <c r="I11" s="92">
        <f t="shared" si="2"/>
        <v>56404.80000000002</v>
      </c>
    </row>
    <row r="12" spans="1:9" s="142" customFormat="1" ht="17.25">
      <c r="A12" s="90" t="s">
        <v>12</v>
      </c>
      <c r="B12" s="112">
        <f>4571-2</f>
        <v>4569</v>
      </c>
      <c r="C12" s="113">
        <f>13016.5-27.3-2</f>
        <v>12987.2</v>
      </c>
      <c r="D12" s="92">
        <f>134.7+863.6+21+169+134.3+503.1+242.3+376.7+419.7+11.5+196.3+194.7+350.5+128.8</f>
        <v>3746.2</v>
      </c>
      <c r="E12" s="94">
        <f>D12/D6*100</f>
        <v>1.2579951126846216</v>
      </c>
      <c r="F12" s="94">
        <f t="shared" si="3"/>
        <v>81.9916830816371</v>
      </c>
      <c r="G12" s="94">
        <f t="shared" si="0"/>
        <v>28.845324627325365</v>
      </c>
      <c r="H12" s="92">
        <f t="shared" si="1"/>
        <v>822.8000000000002</v>
      </c>
      <c r="I12" s="92">
        <f t="shared" si="2"/>
        <v>9241</v>
      </c>
    </row>
    <row r="13" spans="1:9" s="142" customFormat="1" ht="18" thickBot="1">
      <c r="A13" s="90" t="s">
        <v>25</v>
      </c>
      <c r="B13" s="113">
        <f>B6-B8-B9-B10-B11-B12</f>
        <v>11524.19999999999</v>
      </c>
      <c r="C13" s="113">
        <f>C6-C8-C9-C10-C11-C12</f>
        <v>35883.899999999965</v>
      </c>
      <c r="D13" s="113">
        <f>D6-D8-D9-D10-D11-D12</f>
        <v>6688.000000000026</v>
      </c>
      <c r="E13" s="94">
        <f>D13/D6*100</f>
        <v>2.245868163374829</v>
      </c>
      <c r="F13" s="94">
        <f t="shared" si="3"/>
        <v>58.03439718158339</v>
      </c>
      <c r="G13" s="94">
        <f t="shared" si="0"/>
        <v>18.637884956763433</v>
      </c>
      <c r="H13" s="92">
        <f aca="true" t="shared" si="4" ref="H13:H44">B13-D13</f>
        <v>4836.199999999963</v>
      </c>
      <c r="I13" s="92">
        <f t="shared" si="2"/>
        <v>29195.89999999994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2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2">
        <f t="shared" si="4"/>
        <v>0</v>
      </c>
      <c r="I15" s="72">
        <f>C15-D15</f>
        <v>0</v>
      </c>
      <c r="J15" s="84"/>
    </row>
    <row r="16" spans="1:10" s="29" customFormat="1" ht="18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2">
        <f t="shared" si="4"/>
        <v>0</v>
      </c>
      <c r="I16" s="72">
        <f>C16-D16</f>
        <v>0</v>
      </c>
      <c r="J16" s="84"/>
    </row>
    <row r="17" spans="1:10" s="29" customFormat="1" ht="18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2">
        <f t="shared" si="4"/>
        <v>0</v>
      </c>
      <c r="I17" s="72">
        <f>C17-D17</f>
        <v>0</v>
      </c>
      <c r="J17" s="84"/>
    </row>
    <row r="18" spans="1:12" ht="18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</f>
        <v>132835.69999999995</v>
      </c>
      <c r="E18" s="3">
        <f>D18/D156*100</f>
        <v>18.134225278664456</v>
      </c>
      <c r="F18" s="3">
        <f>D18/B18*100</f>
        <v>90.4365249028477</v>
      </c>
      <c r="G18" s="3">
        <f t="shared" si="0"/>
        <v>31.779658685369505</v>
      </c>
      <c r="H18" s="92">
        <f t="shared" si="4"/>
        <v>14047.100000000035</v>
      </c>
      <c r="I18" s="36">
        <f t="shared" si="2"/>
        <v>285154.0000000001</v>
      </c>
      <c r="J18" s="142"/>
      <c r="L18" s="143">
        <f>H18-H19</f>
        <v>13947.300000000032</v>
      </c>
    </row>
    <row r="19" spans="1:9" s="84" customFormat="1" ht="18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9880.4+236.6+6921+499.9+9964.9+430.2+258.6+5793.8+50.4+1023.5+21.4+9702.8+983.7+1447.3+3314.6+585.3+0.7+743.9+7774.7+2133.2+803.2+33.9+1127+4421.6</f>
        <v>68152.59999999999</v>
      </c>
      <c r="E19" s="129">
        <f>D19/D18*100</f>
        <v>51.305936581807465</v>
      </c>
      <c r="F19" s="129">
        <f t="shared" si="3"/>
        <v>99.85377803564415</v>
      </c>
      <c r="G19" s="129">
        <f t="shared" si="0"/>
        <v>33.18755390032621</v>
      </c>
      <c r="H19" s="92">
        <f t="shared" si="4"/>
        <v>99.80000000000291</v>
      </c>
      <c r="I19" s="128">
        <f t="shared" si="2"/>
        <v>137203.30000000005</v>
      </c>
    </row>
    <row r="20" spans="1:9" s="142" customFormat="1" ht="17.25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4"/>
        <v>0</v>
      </c>
      <c r="I20" s="92">
        <f t="shared" si="2"/>
        <v>0</v>
      </c>
    </row>
    <row r="21" spans="1:9" s="142" customFormat="1" ht="17.25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4"/>
        <v>0</v>
      </c>
      <c r="I21" s="92">
        <f t="shared" si="2"/>
        <v>0</v>
      </c>
    </row>
    <row r="22" spans="1:9" s="142" customFormat="1" ht="17.25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4"/>
        <v>0</v>
      </c>
      <c r="I22" s="92">
        <f t="shared" si="2"/>
        <v>0</v>
      </c>
    </row>
    <row r="23" spans="1:9" s="142" customFormat="1" ht="17.25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4"/>
        <v>0</v>
      </c>
      <c r="I23" s="92">
        <f t="shared" si="2"/>
        <v>0</v>
      </c>
    </row>
    <row r="24" spans="1:9" s="142" customFormat="1" ht="17.25">
      <c r="A24" s="90" t="s">
        <v>12</v>
      </c>
      <c r="B24" s="112">
        <v>272.6</v>
      </c>
      <c r="C24" s="113">
        <v>999.4</v>
      </c>
      <c r="D24" s="92">
        <v>199.2</v>
      </c>
      <c r="E24" s="94">
        <f>D24/D18*100</f>
        <v>0.14995968704196241</v>
      </c>
      <c r="F24" s="94">
        <f t="shared" si="3"/>
        <v>73.0741012472487</v>
      </c>
      <c r="G24" s="94">
        <f t="shared" si="0"/>
        <v>19.931959175505305</v>
      </c>
      <c r="H24" s="92">
        <f t="shared" si="4"/>
        <v>73.40000000000003</v>
      </c>
      <c r="I24" s="92">
        <f t="shared" si="2"/>
        <v>800.2</v>
      </c>
    </row>
    <row r="25" spans="1:9" s="142" customFormat="1" ht="18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132636.49999999994</v>
      </c>
      <c r="E25" s="94">
        <f>D25/D18*100</f>
        <v>99.85004031295803</v>
      </c>
      <c r="F25" s="94">
        <f t="shared" si="3"/>
        <v>90.46880776371627</v>
      </c>
      <c r="G25" s="94">
        <f t="shared" si="0"/>
        <v>31.80805404825962</v>
      </c>
      <c r="H25" s="92">
        <f t="shared" si="4"/>
        <v>13973.70000000004</v>
      </c>
      <c r="I25" s="92">
        <f t="shared" si="2"/>
        <v>284353.8000000001</v>
      </c>
    </row>
    <row r="26" spans="1:10" ht="54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2">
        <f t="shared" si="4"/>
        <v>0</v>
      </c>
      <c r="I26" s="33">
        <f t="shared" si="2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2">
        <f t="shared" si="4"/>
        <v>0</v>
      </c>
      <c r="I27" s="33">
        <f t="shared" si="2"/>
        <v>0</v>
      </c>
      <c r="J27" s="142"/>
    </row>
    <row r="28" spans="1:10" ht="18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2">
        <f t="shared" si="4"/>
        <v>0</v>
      </c>
      <c r="I28" s="33">
        <f t="shared" si="2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2">
        <f t="shared" si="4"/>
        <v>0</v>
      </c>
      <c r="I29" s="33">
        <f t="shared" si="2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2">
        <f t="shared" si="4"/>
        <v>0</v>
      </c>
      <c r="I30" s="33">
        <f t="shared" si="2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2">
        <f t="shared" si="4"/>
        <v>0</v>
      </c>
      <c r="I31" s="33">
        <f t="shared" si="2"/>
        <v>0</v>
      </c>
      <c r="J31" s="142"/>
    </row>
    <row r="32" spans="1:10" ht="18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2">
        <f t="shared" si="4"/>
        <v>0</v>
      </c>
      <c r="I32" s="33">
        <f t="shared" si="2"/>
        <v>0</v>
      </c>
      <c r="J32" s="142"/>
    </row>
    <row r="33" spans="1:10" ht="18" thickBot="1">
      <c r="A33" s="18" t="s">
        <v>15</v>
      </c>
      <c r="B33" s="34">
        <f>9016.3-20-119.8</f>
        <v>8876.5</v>
      </c>
      <c r="C33" s="35">
        <f>26954.8-20</f>
        <v>26934.8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</f>
        <v>7949.599999999998</v>
      </c>
      <c r="E33" s="3">
        <f>D33/D156*100</f>
        <v>1.085249200894571</v>
      </c>
      <c r="F33" s="3">
        <f>D33/B33*100</f>
        <v>89.55782121331603</v>
      </c>
      <c r="G33" s="3">
        <f t="shared" si="0"/>
        <v>29.514234373375697</v>
      </c>
      <c r="H33" s="92">
        <f t="shared" si="4"/>
        <v>926.9000000000024</v>
      </c>
      <c r="I33" s="36">
        <f t="shared" si="2"/>
        <v>18985.2</v>
      </c>
      <c r="J33" s="142"/>
    </row>
    <row r="34" spans="1:9" s="142" customFormat="1" ht="17.25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95.5+254.3+520.9+145.6+77.4+290.2+14+629.4+494.6+11.4+607.6+26.4+384.9+103.2+27.1+151.5+461.6+16.4</f>
        <v>4312</v>
      </c>
      <c r="E34" s="94">
        <f>D34/D33*100</f>
        <v>54.24172285398009</v>
      </c>
      <c r="F34" s="94">
        <f t="shared" si="3"/>
        <v>93.79826412303409</v>
      </c>
      <c r="G34" s="94">
        <f t="shared" si="0"/>
        <v>30.24733792561624</v>
      </c>
      <c r="H34" s="92">
        <f t="shared" si="4"/>
        <v>285.10000000000036</v>
      </c>
      <c r="I34" s="92">
        <f t="shared" si="2"/>
        <v>9943.8</v>
      </c>
    </row>
    <row r="35" spans="1:9" s="142" customFormat="1" ht="17.25">
      <c r="A35" s="90" t="s">
        <v>1</v>
      </c>
      <c r="B35" s="112">
        <f>22.5+1.9</f>
        <v>24.4</v>
      </c>
      <c r="C35" s="113">
        <v>87.1</v>
      </c>
      <c r="D35" s="92">
        <f>10+2+7.5+3+1.9</f>
        <v>24.4</v>
      </c>
      <c r="E35" s="94">
        <f>D35/D33*100</f>
        <v>0.3069336821978465</v>
      </c>
      <c r="F35" s="94">
        <f t="shared" si="3"/>
        <v>100</v>
      </c>
      <c r="G35" s="94">
        <f t="shared" si="0"/>
        <v>28.013777267508612</v>
      </c>
      <c r="H35" s="92">
        <f t="shared" si="4"/>
        <v>0</v>
      </c>
      <c r="I35" s="92">
        <f t="shared" si="2"/>
        <v>62.699999999999996</v>
      </c>
    </row>
    <row r="36" spans="1:9" s="142" customFormat="1" ht="17.25">
      <c r="A36" s="90" t="s">
        <v>0</v>
      </c>
      <c r="B36" s="112">
        <v>1124.3</v>
      </c>
      <c r="C36" s="113">
        <v>2087.8</v>
      </c>
      <c r="D36" s="92">
        <f>1.1+273.8+98.4+76.8+0.5+2.1+0.3+6.6+52.2+342.8+0.4</f>
        <v>855.0000000000001</v>
      </c>
      <c r="E36" s="94">
        <f>D36/D33*100</f>
        <v>10.755258126195033</v>
      </c>
      <c r="F36" s="94">
        <f t="shared" si="3"/>
        <v>76.04731833140622</v>
      </c>
      <c r="G36" s="94">
        <f t="shared" si="0"/>
        <v>40.95219848644506</v>
      </c>
      <c r="H36" s="92">
        <f t="shared" si="4"/>
        <v>269.29999999999984</v>
      </c>
      <c r="I36" s="92">
        <f t="shared" si="2"/>
        <v>1232.8000000000002</v>
      </c>
    </row>
    <row r="37" spans="1:9" s="84" customFormat="1" ht="17.25">
      <c r="A37" s="103" t="s">
        <v>7</v>
      </c>
      <c r="B37" s="123">
        <f>234-119.8</f>
        <v>114.2</v>
      </c>
      <c r="C37" s="124">
        <v>1082.6</v>
      </c>
      <c r="D37" s="96">
        <f>38.7+2+2.3+2.6+2.1+1.9+12.2+7.5+2.4+10+18.2+1.9</f>
        <v>101.80000000000001</v>
      </c>
      <c r="E37" s="99">
        <f>D37/D33*100</f>
        <v>1.2805675757270811</v>
      </c>
      <c r="F37" s="99">
        <f t="shared" si="3"/>
        <v>89.14185639229423</v>
      </c>
      <c r="G37" s="99">
        <f t="shared" si="0"/>
        <v>9.403288379826344</v>
      </c>
      <c r="H37" s="92">
        <f t="shared" si="4"/>
        <v>12.399999999999991</v>
      </c>
      <c r="I37" s="96">
        <f t="shared" si="2"/>
        <v>980.8</v>
      </c>
    </row>
    <row r="38" spans="1:9" s="142" customFormat="1" ht="17.25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0.6415417127905809</v>
      </c>
      <c r="F38" s="94">
        <f t="shared" si="3"/>
        <v>66.4928292046936</v>
      </c>
      <c r="G38" s="94">
        <f t="shared" si="0"/>
        <v>22.116218560277538</v>
      </c>
      <c r="H38" s="92">
        <f t="shared" si="4"/>
        <v>25.700000000000003</v>
      </c>
      <c r="I38" s="92">
        <f t="shared" si="2"/>
        <v>179.6</v>
      </c>
    </row>
    <row r="39" spans="1:9" s="142" customFormat="1" ht="18" thickBot="1">
      <c r="A39" s="90" t="s">
        <v>25</v>
      </c>
      <c r="B39" s="112">
        <f>B33-B34-B36-B37-B35-B38</f>
        <v>2939.7999999999997</v>
      </c>
      <c r="C39" s="112">
        <f>C33-C34-C36-C37-C35-C38</f>
        <v>9190.9</v>
      </c>
      <c r="D39" s="112">
        <f>D33-D34-D36-D37-D35-D38</f>
        <v>2605.3999999999974</v>
      </c>
      <c r="E39" s="94">
        <f>D39/D33*100</f>
        <v>32.773976049109365</v>
      </c>
      <c r="F39" s="94">
        <f t="shared" si="3"/>
        <v>88.62507653581868</v>
      </c>
      <c r="G39" s="94">
        <f t="shared" si="0"/>
        <v>28.347604695949226</v>
      </c>
      <c r="H39" s="92">
        <f t="shared" si="4"/>
        <v>334.40000000000236</v>
      </c>
      <c r="I39" s="92">
        <f t="shared" si="2"/>
        <v>6585.500000000002</v>
      </c>
    </row>
    <row r="40" spans="1:10" ht="18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2">
        <f t="shared" si="4"/>
        <v>0</v>
      </c>
      <c r="I40" s="72">
        <f t="shared" si="2"/>
        <v>0</v>
      </c>
      <c r="J40" s="142"/>
    </row>
    <row r="41" spans="1:10" ht="18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2">
        <f t="shared" si="4"/>
        <v>0</v>
      </c>
      <c r="I41" s="72">
        <f t="shared" si="2"/>
        <v>0</v>
      </c>
      <c r="J41" s="142"/>
    </row>
    <row r="42" spans="1:10" ht="18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2">
        <f t="shared" si="4"/>
        <v>0</v>
      </c>
      <c r="I42" s="72">
        <f t="shared" si="2"/>
        <v>0</v>
      </c>
      <c r="J42" s="142"/>
    </row>
    <row r="43" spans="1:10" ht="18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18+9.7+7.2+11.6+18.4+18.7+25.1+13.5+2.2+2+16.6+22.9+12+21+7.7+15.6+10+15</f>
        <v>247.20000000000002</v>
      </c>
      <c r="E43" s="3">
        <f>D43/D156*100</f>
        <v>0.033746805180278006</v>
      </c>
      <c r="F43" s="3">
        <f>D43/B43*100</f>
        <v>80.52117263843648</v>
      </c>
      <c r="G43" s="3">
        <f t="shared" si="0"/>
        <v>25.221916131007045</v>
      </c>
      <c r="H43" s="92">
        <f t="shared" si="4"/>
        <v>59.79999999999998</v>
      </c>
      <c r="I43" s="36">
        <f t="shared" si="2"/>
        <v>732.9</v>
      </c>
      <c r="J43" s="142"/>
    </row>
    <row r="44" spans="1:10" ht="18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92">
        <f t="shared" si="4"/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42"/>
    </row>
    <row r="46" spans="1:11" ht="18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346.4+682.6-0.1+14.1+556.7+0.1+721.1+127.1+71.4+15.4+390.3+13.9+56.1+905.8+4.8+61.3+2.9+439.8+0.3+42+847.9+8.3</f>
        <v>5308.200000000001</v>
      </c>
      <c r="E46" s="3">
        <f>D46/D156*100</f>
        <v>0.7246553044415524</v>
      </c>
      <c r="F46" s="3">
        <f>D46/B46*100</f>
        <v>94.44523521457549</v>
      </c>
      <c r="G46" s="3">
        <f aca="true" t="shared" si="5" ref="G46:G78">D46/C46*100</f>
        <v>31.705700001791897</v>
      </c>
      <c r="H46" s="36">
        <f>B46-D46</f>
        <v>312.1999999999989</v>
      </c>
      <c r="I46" s="36">
        <f aca="true" t="shared" si="6" ref="I46:I79">C46-D46</f>
        <v>11433.899999999998</v>
      </c>
      <c r="J46" s="142"/>
      <c r="K46" s="142"/>
    </row>
    <row r="47" spans="1:9" s="142" customFormat="1" ht="17.25">
      <c r="A47" s="90" t="s">
        <v>3</v>
      </c>
      <c r="B47" s="112">
        <v>4866.2</v>
      </c>
      <c r="C47" s="113">
        <v>15270.9</v>
      </c>
      <c r="D47" s="92">
        <f>332.5+633.1+14.1+510.1+691.2+14.1+377.2-0.1+896.5+425+839.9+7</f>
        <v>4740.599999999999</v>
      </c>
      <c r="E47" s="94">
        <f>D47/D46*100</f>
        <v>89.3071097547191</v>
      </c>
      <c r="F47" s="94">
        <f aca="true" t="shared" si="7" ref="F47:F76">D47/B47*100</f>
        <v>97.4189305823846</v>
      </c>
      <c r="G47" s="94">
        <f t="shared" si="5"/>
        <v>31.043356973066416</v>
      </c>
      <c r="H47" s="92">
        <f aca="true" t="shared" si="8" ref="H47:H76">B47-D47</f>
        <v>125.60000000000036</v>
      </c>
      <c r="I47" s="92">
        <f t="shared" si="6"/>
        <v>10530.3</v>
      </c>
    </row>
    <row r="48" spans="1:9" s="142" customFormat="1" ht="17.25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7"/>
        <v>0</v>
      </c>
      <c r="G48" s="94">
        <f t="shared" si="5"/>
        <v>0</v>
      </c>
      <c r="H48" s="92">
        <f t="shared" si="8"/>
        <v>0.9</v>
      </c>
      <c r="I48" s="92">
        <f t="shared" si="6"/>
        <v>1.6</v>
      </c>
    </row>
    <row r="49" spans="1:9" s="142" customFormat="1" ht="17.25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0.5463245544629064</v>
      </c>
      <c r="F49" s="94">
        <f t="shared" si="7"/>
        <v>92.06349206349206</v>
      </c>
      <c r="G49" s="94">
        <f t="shared" si="5"/>
        <v>27.281279397930387</v>
      </c>
      <c r="H49" s="92">
        <f t="shared" si="8"/>
        <v>2.5</v>
      </c>
      <c r="I49" s="92">
        <f t="shared" si="6"/>
        <v>77.3</v>
      </c>
    </row>
    <row r="50" spans="1:9" s="142" customFormat="1" ht="17.25">
      <c r="A50" s="90" t="s">
        <v>0</v>
      </c>
      <c r="B50" s="112">
        <v>614.3</v>
      </c>
      <c r="C50" s="113">
        <v>998.4</v>
      </c>
      <c r="D50" s="92">
        <f>13.9+43.7+37.9+3.3+112.6+65.7+2.1+15.6+56.1+2.7+37.7+0.1+42+5.3+1.3</f>
        <v>440.00000000000006</v>
      </c>
      <c r="E50" s="94">
        <f>D50/D46*100</f>
        <v>8.289062205644097</v>
      </c>
      <c r="F50" s="94">
        <f t="shared" si="7"/>
        <v>71.62624125020349</v>
      </c>
      <c r="G50" s="94">
        <f t="shared" si="5"/>
        <v>44.070512820512825</v>
      </c>
      <c r="H50" s="92">
        <f t="shared" si="8"/>
        <v>174.2999999999999</v>
      </c>
      <c r="I50" s="92">
        <f t="shared" si="6"/>
        <v>558.3999999999999</v>
      </c>
    </row>
    <row r="51" spans="1:9" s="142" customFormat="1" ht="18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98.60000000000122</v>
      </c>
      <c r="E51" s="94">
        <f>D51/D46*100</f>
        <v>1.8575034851739045</v>
      </c>
      <c r="F51" s="94">
        <f t="shared" si="7"/>
        <v>91.7209302325594</v>
      </c>
      <c r="G51" s="94">
        <f t="shared" si="5"/>
        <v>27.021101671691287</v>
      </c>
      <c r="H51" s="92">
        <f t="shared" si="8"/>
        <v>8.899999999998641</v>
      </c>
      <c r="I51" s="92">
        <f t="shared" si="6"/>
        <v>266.2999999999977</v>
      </c>
    </row>
    <row r="52" spans="1:10" ht="18" thickBot="1">
      <c r="A52" s="18" t="s">
        <v>4</v>
      </c>
      <c r="B52" s="34">
        <f>18755.4-33</f>
        <v>18722.4</v>
      </c>
      <c r="C52" s="35">
        <f>54626.8-33</f>
        <v>54593.8</v>
      </c>
      <c r="D52" s="36">
        <f>721.7+145.3+5+112.8+1132.7+7.6+9.6+17.1+0.3+1056.5+185.3+56.2+95+1327.2+403.4+2.3+70.2+233.5+966+52.7+123+9.9-0.1+532.2+8.3+75.6+313.4+1771.2+5.9+0.1+98.2+182.6+0.5+835.2+180.6+94+438+427.3+1076.3+1039.4+79.1</f>
        <v>13891.1</v>
      </c>
      <c r="E52" s="3">
        <f>D52/D156*100</f>
        <v>1.8963602161802582</v>
      </c>
      <c r="F52" s="3">
        <f>D52/B52*100</f>
        <v>74.19508182711618</v>
      </c>
      <c r="G52" s="3">
        <f t="shared" si="5"/>
        <v>25.444464389729237</v>
      </c>
      <c r="H52" s="36">
        <f>B52-D52</f>
        <v>4831.300000000001</v>
      </c>
      <c r="I52" s="36">
        <f t="shared" si="6"/>
        <v>40702.700000000004</v>
      </c>
      <c r="J52" s="142"/>
    </row>
    <row r="53" spans="1:9" s="142" customFormat="1" ht="17.25">
      <c r="A53" s="90" t="s">
        <v>3</v>
      </c>
      <c r="B53" s="112">
        <v>9043.2</v>
      </c>
      <c r="C53" s="113">
        <v>25959.9</v>
      </c>
      <c r="D53" s="92">
        <f>721.7+980.4+865.2+984.4+270.7+792.3+9.9+66.7+1210.9+835.2+313.7+945.1</f>
        <v>7996.199999999999</v>
      </c>
      <c r="E53" s="94">
        <f>D53/D52*100</f>
        <v>57.56347589463756</v>
      </c>
      <c r="F53" s="94">
        <f t="shared" si="7"/>
        <v>88.42223991507429</v>
      </c>
      <c r="G53" s="94">
        <f t="shared" si="5"/>
        <v>30.80212173390498</v>
      </c>
      <c r="H53" s="92">
        <f t="shared" si="8"/>
        <v>1047.0000000000018</v>
      </c>
      <c r="I53" s="92">
        <f t="shared" si="6"/>
        <v>17963.700000000004</v>
      </c>
    </row>
    <row r="54" spans="1:9" s="142" customFormat="1" ht="17.25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5"/>
        <v>0</v>
      </c>
      <c r="H54" s="92">
        <f t="shared" si="8"/>
        <v>0</v>
      </c>
      <c r="I54" s="92">
        <f t="shared" si="6"/>
        <v>16.4</v>
      </c>
    </row>
    <row r="55" spans="1:9" s="142" customFormat="1" ht="17.25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3.2+7.6+9.6+11.4+10.1+24.7+6.6+7.8+2.3+6.6+70.1+102.1+3.2+185.8+105+116.2+245</f>
        <v>917.3</v>
      </c>
      <c r="E55" s="94">
        <f>D55/D52*100</f>
        <v>6.603508721411551</v>
      </c>
      <c r="F55" s="94">
        <f t="shared" si="7"/>
        <v>61.67966648735879</v>
      </c>
      <c r="G55" s="94">
        <f t="shared" si="5"/>
        <v>21.17448812354285</v>
      </c>
      <c r="H55" s="92">
        <f t="shared" si="8"/>
        <v>569.9000000000001</v>
      </c>
      <c r="I55" s="92">
        <f t="shared" si="6"/>
        <v>3414.8</v>
      </c>
    </row>
    <row r="56" spans="1:9" s="142" customFormat="1" ht="17.25">
      <c r="A56" s="90" t="s">
        <v>0</v>
      </c>
      <c r="B56" s="112">
        <v>681.3</v>
      </c>
      <c r="C56" s="113">
        <v>1406.6</v>
      </c>
      <c r="D56" s="92">
        <f>0.3+1.2+21.4+80.5+2.4+14.5+22.9+268+5.9+0.1+8.8+0.5+18.5+22.5+0.1+5.1+69.1</f>
        <v>541.8000000000001</v>
      </c>
      <c r="E56" s="94">
        <f>D56/D52*100</f>
        <v>3.90033906602069</v>
      </c>
      <c r="F56" s="94">
        <f t="shared" si="7"/>
        <v>79.52443857331573</v>
      </c>
      <c r="G56" s="94">
        <f t="shared" si="5"/>
        <v>38.518413194938155</v>
      </c>
      <c r="H56" s="92">
        <f t="shared" si="8"/>
        <v>139.4999999999999</v>
      </c>
      <c r="I56" s="92">
        <f t="shared" si="6"/>
        <v>864.7999999999998</v>
      </c>
    </row>
    <row r="57" spans="1:9" s="142" customFormat="1" ht="17.25">
      <c r="A57" s="90" t="s">
        <v>12</v>
      </c>
      <c r="B57" s="112">
        <v>1456</v>
      </c>
      <c r="C57" s="113">
        <v>4640</v>
      </c>
      <c r="D57" s="113">
        <f>227+242+245</f>
        <v>714</v>
      </c>
      <c r="E57" s="94">
        <f>D57/D52*100</f>
        <v>5.139981714910986</v>
      </c>
      <c r="F57" s="94">
        <f>D57/B57*100</f>
        <v>49.03846153846153</v>
      </c>
      <c r="G57" s="94">
        <f>D57/C57*100</f>
        <v>15.387931034482758</v>
      </c>
      <c r="H57" s="92">
        <f t="shared" si="8"/>
        <v>742</v>
      </c>
      <c r="I57" s="92">
        <f t="shared" si="6"/>
        <v>3926</v>
      </c>
    </row>
    <row r="58" spans="1:9" s="142" customFormat="1" ht="18" thickBot="1">
      <c r="A58" s="90" t="s">
        <v>25</v>
      </c>
      <c r="B58" s="113">
        <f>B52-B53-B56-B55-B54-B57</f>
        <v>6054.700000000002</v>
      </c>
      <c r="C58" s="113">
        <f>C52-C53-C56-C55-C54-C57</f>
        <v>18238.800000000003</v>
      </c>
      <c r="D58" s="113">
        <f>D52-D53-D56-D55-D54-D57</f>
        <v>3721.800000000001</v>
      </c>
      <c r="E58" s="94">
        <f>D58/D52*100</f>
        <v>26.792694603019207</v>
      </c>
      <c r="F58" s="94">
        <f t="shared" si="7"/>
        <v>61.46960212727303</v>
      </c>
      <c r="G58" s="94">
        <f t="shared" si="5"/>
        <v>20.405947759721037</v>
      </c>
      <c r="H58" s="92">
        <f>B58-D58</f>
        <v>2332.9000000000005</v>
      </c>
      <c r="I58" s="92">
        <f>C58-D58</f>
        <v>14517.000000000002</v>
      </c>
    </row>
    <row r="59" spans="1:10" s="29" customFormat="1" ht="18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80.6+106+88.7+4.1+0.3+50.7+49.2+44+180.6+100.8+125+0.6+0.8+205.4-0.2+30.8+60.6+59.8+0.5+2.3+86.2+133.9+48.6</f>
        <v>1459.2999999999997</v>
      </c>
      <c r="E60" s="3">
        <f>D60/D156*100</f>
        <v>0.1992180938494324</v>
      </c>
      <c r="F60" s="3">
        <f>D60/B60*100</f>
        <v>89.52211520765596</v>
      </c>
      <c r="G60" s="3">
        <f t="shared" si="5"/>
        <v>14.211423284803034</v>
      </c>
      <c r="H60" s="36">
        <f>B60-D60</f>
        <v>170.80000000000018</v>
      </c>
      <c r="I60" s="36">
        <f t="shared" si="6"/>
        <v>8809.2</v>
      </c>
      <c r="J60" s="142"/>
    </row>
    <row r="61" spans="1:9" s="142" customFormat="1" ht="17.25">
      <c r="A61" s="90" t="s">
        <v>3</v>
      </c>
      <c r="B61" s="112">
        <v>1170.2</v>
      </c>
      <c r="C61" s="113">
        <v>3626.9</v>
      </c>
      <c r="D61" s="92">
        <f>80.6+106+88.7+4.1+50.7+38.1+180.6+95.6+203.1+54.2+59.8+86.2+109.7</f>
        <v>1157.4</v>
      </c>
      <c r="E61" s="94">
        <f>D61/D60*100</f>
        <v>79.31199890358394</v>
      </c>
      <c r="F61" s="94">
        <f t="shared" si="7"/>
        <v>98.90616988548966</v>
      </c>
      <c r="G61" s="94">
        <f t="shared" si="5"/>
        <v>31.9115498083763</v>
      </c>
      <c r="H61" s="92">
        <f t="shared" si="8"/>
        <v>12.799999999999955</v>
      </c>
      <c r="I61" s="92">
        <f t="shared" si="6"/>
        <v>2469.5</v>
      </c>
    </row>
    <row r="62" spans="1:9" s="142" customFormat="1" ht="17.25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5"/>
        <v>0</v>
      </c>
      <c r="H62" s="92">
        <f t="shared" si="8"/>
        <v>0</v>
      </c>
      <c r="I62" s="92">
        <f t="shared" si="6"/>
        <v>420</v>
      </c>
    </row>
    <row r="63" spans="1:9" s="142" customFormat="1" ht="17.25">
      <c r="A63" s="90" t="s">
        <v>0</v>
      </c>
      <c r="B63" s="112">
        <v>298.6</v>
      </c>
      <c r="C63" s="113">
        <v>475.3</v>
      </c>
      <c r="D63" s="92">
        <f>9.6+44+118.7+0.1+30.8+0.2+16.8</f>
        <v>220.20000000000002</v>
      </c>
      <c r="E63" s="94">
        <f>D63/D60*100</f>
        <v>15.089426437332973</v>
      </c>
      <c r="F63" s="94">
        <f t="shared" si="7"/>
        <v>73.74413931681178</v>
      </c>
      <c r="G63" s="94">
        <f t="shared" si="5"/>
        <v>46.328634546602146</v>
      </c>
      <c r="H63" s="92">
        <f t="shared" si="8"/>
        <v>78.4</v>
      </c>
      <c r="I63" s="92">
        <f t="shared" si="6"/>
        <v>255.1</v>
      </c>
    </row>
    <row r="64" spans="1:9" s="142" customFormat="1" ht="17.25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7"/>
        <v>#DIV/0!</v>
      </c>
      <c r="G64" s="94">
        <f t="shared" si="5"/>
        <v>0</v>
      </c>
      <c r="H64" s="92">
        <f t="shared" si="8"/>
        <v>0</v>
      </c>
      <c r="I64" s="92">
        <f t="shared" si="6"/>
        <v>4848.7</v>
      </c>
    </row>
    <row r="65" spans="1:9" s="142" customFormat="1" ht="18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81.69999999999962</v>
      </c>
      <c r="E65" s="94">
        <f>D65/D60*100</f>
        <v>5.598574659083097</v>
      </c>
      <c r="F65" s="94">
        <f t="shared" si="7"/>
        <v>50.65096094234327</v>
      </c>
      <c r="G65" s="94">
        <f t="shared" si="5"/>
        <v>9.102049910873394</v>
      </c>
      <c r="H65" s="92">
        <f t="shared" si="8"/>
        <v>79.60000000000022</v>
      </c>
      <c r="I65" s="92">
        <f t="shared" si="6"/>
        <v>815.9000000000008</v>
      </c>
    </row>
    <row r="66" spans="1:10" s="29" customFormat="1" ht="18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8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8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8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" thickBot="1">
      <c r="A70" s="18" t="s">
        <v>18</v>
      </c>
      <c r="B70" s="35">
        <f>B71+B72</f>
        <v>228.8</v>
      </c>
      <c r="C70" s="35">
        <f>C71+C72</f>
        <v>517.7</v>
      </c>
      <c r="D70" s="36">
        <f>D71+D72</f>
        <v>197.70000000000002</v>
      </c>
      <c r="E70" s="27">
        <f>D70/D156*100</f>
        <v>0.026989253172091273</v>
      </c>
      <c r="F70" s="3">
        <f>D70/B70*100</f>
        <v>86.40734265734265</v>
      </c>
      <c r="G70" s="3">
        <f t="shared" si="5"/>
        <v>38.18813984933359</v>
      </c>
      <c r="H70" s="36">
        <f>B70-D70</f>
        <v>31.099999999999994</v>
      </c>
      <c r="I70" s="36">
        <f t="shared" si="6"/>
        <v>320</v>
      </c>
      <c r="J70" s="142"/>
    </row>
    <row r="71" spans="1:9" s="142" customFormat="1" ht="17.25">
      <c r="A71" s="90" t="s">
        <v>106</v>
      </c>
      <c r="B71" s="112">
        <f>217.3-50</f>
        <v>167.3</v>
      </c>
      <c r="C71" s="113">
        <v>217.3</v>
      </c>
      <c r="D71" s="92">
        <f>50+117.3</f>
        <v>167.3</v>
      </c>
      <c r="E71" s="94">
        <f>D71/D70*100</f>
        <v>84.62316641375823</v>
      </c>
      <c r="F71" s="94">
        <f t="shared" si="7"/>
        <v>100</v>
      </c>
      <c r="G71" s="94">
        <f t="shared" si="5"/>
        <v>76.99033594109525</v>
      </c>
      <c r="H71" s="92">
        <f t="shared" si="8"/>
        <v>0</v>
      </c>
      <c r="I71" s="92">
        <f t="shared" si="6"/>
        <v>50</v>
      </c>
    </row>
    <row r="72" spans="1:9" s="142" customFormat="1" ht="21" customHeight="1">
      <c r="A72" s="156" t="s">
        <v>107</v>
      </c>
      <c r="B72" s="112">
        <f>91.8-22.7-7.6</f>
        <v>61.49999999999999</v>
      </c>
      <c r="C72" s="113">
        <f>396.5-65.8-22.7-7.6</f>
        <v>300.4</v>
      </c>
      <c r="D72" s="92">
        <f>0.6+6.4+23.4</f>
        <v>30.4</v>
      </c>
      <c r="E72" s="94">
        <f>D72/D71*100</f>
        <v>18.170950388523607</v>
      </c>
      <c r="F72" s="94">
        <f t="shared" si="7"/>
        <v>49.43089430894309</v>
      </c>
      <c r="G72" s="94">
        <f t="shared" si="5"/>
        <v>10.119840213049267</v>
      </c>
      <c r="H72" s="92">
        <f t="shared" si="8"/>
        <v>31.099999999999994</v>
      </c>
      <c r="I72" s="92">
        <f t="shared" si="6"/>
        <v>270</v>
      </c>
    </row>
    <row r="73" spans="1:9" s="142" customFormat="1" ht="18" thickBot="1">
      <c r="A73" s="90" t="s">
        <v>46</v>
      </c>
      <c r="B73" s="112">
        <f>23.4</f>
        <v>23.4</v>
      </c>
      <c r="C73" s="113">
        <v>23.4</v>
      </c>
      <c r="D73" s="113">
        <v>23.4</v>
      </c>
      <c r="E73" s="94">
        <f>D73/D72*100</f>
        <v>76.97368421052632</v>
      </c>
      <c r="F73" s="94">
        <f>D73/B73*100</f>
        <v>100</v>
      </c>
      <c r="G73" s="94">
        <f>D73/C73*100</f>
        <v>100</v>
      </c>
      <c r="H73" s="92">
        <f>B73-D73</f>
        <v>0</v>
      </c>
      <c r="I73" s="92">
        <f>C73-D73</f>
        <v>0</v>
      </c>
    </row>
    <row r="74" spans="1:10" ht="35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42"/>
    </row>
    <row r="75" spans="1:10" ht="17.2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42"/>
    </row>
    <row r="76" spans="1:10" ht="17.2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42"/>
    </row>
    <row r="77" spans="1:10" ht="17.2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42"/>
    </row>
    <row r="78" spans="1:10" ht="18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42"/>
    </row>
    <row r="79" spans="1:10" s="29" customFormat="1" ht="18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44"/>
      <c r="J80" s="142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42"/>
    </row>
    <row r="82" spans="1:10" s="8" customFormat="1" ht="18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41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41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41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41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42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42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42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42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42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42"/>
    </row>
    <row r="92" spans="1:10" ht="18" thickBot="1">
      <c r="A92" s="11" t="s">
        <v>8</v>
      </c>
      <c r="B92" s="41">
        <f>74175.7-200+467.5</f>
        <v>74443.2</v>
      </c>
      <c r="C92" s="35">
        <f>208452.8+200+77.9-200</f>
        <v>208530.69999999998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</f>
        <v>69869.00000000001</v>
      </c>
      <c r="E92" s="3">
        <f>D92/D156*100</f>
        <v>9.538250530505033</v>
      </c>
      <c r="F92" s="3">
        <f aca="true" t="shared" si="11" ref="F92:F98">D92/B92*100</f>
        <v>93.85544952393236</v>
      </c>
      <c r="G92" s="3">
        <f t="shared" si="9"/>
        <v>33.50537834477131</v>
      </c>
      <c r="H92" s="36">
        <f aca="true" t="shared" si="12" ref="H92:H98">B92-D92</f>
        <v>4574.1999999999825</v>
      </c>
      <c r="I92" s="36">
        <f t="shared" si="10"/>
        <v>138661.69999999995</v>
      </c>
      <c r="J92" s="142"/>
    </row>
    <row r="93" spans="1:9" s="142" customFormat="1" ht="21.75" customHeight="1">
      <c r="A93" s="90" t="s">
        <v>3</v>
      </c>
      <c r="B93" s="112">
        <f>69303.9-200+105+907.5</f>
        <v>70116.4</v>
      </c>
      <c r="C93" s="113">
        <f>195523.2+200-200</f>
        <v>195523.2</v>
      </c>
      <c r="D93" s="92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</f>
        <v>66673.59999999999</v>
      </c>
      <c r="E93" s="94">
        <f>D93/D92*100</f>
        <v>95.42658403583847</v>
      </c>
      <c r="F93" s="94">
        <f t="shared" si="11"/>
        <v>95.08987911529971</v>
      </c>
      <c r="G93" s="94">
        <f t="shared" si="9"/>
        <v>34.100096561431066</v>
      </c>
      <c r="H93" s="92">
        <f t="shared" si="12"/>
        <v>3442.800000000003</v>
      </c>
      <c r="I93" s="92">
        <f t="shared" si="10"/>
        <v>128849.60000000002</v>
      </c>
    </row>
    <row r="94" spans="1:9" s="142" customFormat="1" ht="17.25">
      <c r="A94" s="90" t="s">
        <v>23</v>
      </c>
      <c r="B94" s="112">
        <f>1313.2-260</f>
        <v>1053.2</v>
      </c>
      <c r="C94" s="113">
        <v>2704.7</v>
      </c>
      <c r="D94" s="92">
        <f>56.2+5.4+7.1+340.1+77+0.5+3+170+5.7+0.1+23.6+4.9+3.8+156.9+5.1+2.6+1.8</f>
        <v>863.8</v>
      </c>
      <c r="E94" s="94">
        <f>D94/D92*100</f>
        <v>1.2363136727303952</v>
      </c>
      <c r="F94" s="94">
        <f t="shared" si="11"/>
        <v>82.01671097607291</v>
      </c>
      <c r="G94" s="94">
        <f t="shared" si="9"/>
        <v>31.93699855806559</v>
      </c>
      <c r="H94" s="92">
        <f t="shared" si="12"/>
        <v>189.4000000000001</v>
      </c>
      <c r="I94" s="92">
        <f t="shared" si="10"/>
        <v>1840.8999999999999</v>
      </c>
    </row>
    <row r="95" spans="1:9" s="142" customFormat="1" ht="17.25" hidden="1">
      <c r="A95" s="90" t="s">
        <v>12</v>
      </c>
      <c r="B95" s="112"/>
      <c r="C95" s="113"/>
      <c r="D95" s="113"/>
      <c r="E95" s="114">
        <f>D95/D92*100</f>
        <v>0</v>
      </c>
      <c r="F95" s="94"/>
      <c r="G95" s="94" t="e">
        <f t="shared" si="9"/>
        <v>#DIV/0!</v>
      </c>
      <c r="H95" s="92">
        <f t="shared" si="12"/>
        <v>0</v>
      </c>
      <c r="I95" s="92">
        <f t="shared" si="10"/>
        <v>0</v>
      </c>
    </row>
    <row r="96" spans="1:9" s="142" customFormat="1" ht="18" thickBot="1">
      <c r="A96" s="90" t="s">
        <v>25</v>
      </c>
      <c r="B96" s="113">
        <f>B92-B93-B94-B95</f>
        <v>3273.600000000003</v>
      </c>
      <c r="C96" s="113">
        <f>C92-C93-C94-C95</f>
        <v>10302.79999999997</v>
      </c>
      <c r="D96" s="113">
        <f>D92-D93-D94-D95</f>
        <v>2331.600000000023</v>
      </c>
      <c r="E96" s="94">
        <f>D96/D92*100</f>
        <v>3.337102291431139</v>
      </c>
      <c r="F96" s="94">
        <f t="shared" si="11"/>
        <v>71.22434017595371</v>
      </c>
      <c r="G96" s="94">
        <f>D96/C96*100</f>
        <v>22.630741157743817</v>
      </c>
      <c r="H96" s="92">
        <f t="shared" si="12"/>
        <v>941.99999999998</v>
      </c>
      <c r="I96" s="92">
        <f>C96-D96</f>
        <v>7971.199999999947</v>
      </c>
    </row>
    <row r="97" spans="1:10" ht="17.25">
      <c r="A97" s="75" t="s">
        <v>10</v>
      </c>
      <c r="B97" s="83">
        <f>37189-185.6+44.8-3000-2000</f>
        <v>32048.200000000004</v>
      </c>
      <c r="C97" s="78">
        <f>83543+41100+1904.1+3500+20</f>
        <v>130067.1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</f>
        <v>27832.499999999993</v>
      </c>
      <c r="E97" s="74">
        <f>D97/D156*100</f>
        <v>3.7995871973304505</v>
      </c>
      <c r="F97" s="76">
        <f t="shared" si="11"/>
        <v>86.84575108742453</v>
      </c>
      <c r="G97" s="73">
        <f>D97/C97*100</f>
        <v>21.398570430185643</v>
      </c>
      <c r="H97" s="77">
        <f t="shared" si="12"/>
        <v>4215.700000000012</v>
      </c>
      <c r="I97" s="79">
        <f>C97-D97</f>
        <v>102234.6</v>
      </c>
      <c r="J97" s="142"/>
    </row>
    <row r="98" spans="1:9" s="142" customFormat="1" ht="18" thickBot="1">
      <c r="A98" s="115" t="s">
        <v>81</v>
      </c>
      <c r="B98" s="116">
        <f>6827.4-1000</f>
        <v>5827.4</v>
      </c>
      <c r="C98" s="117">
        <v>16376.6</v>
      </c>
      <c r="D98" s="118">
        <f>101+2.6+598.7+1.6+2603.8+3.8+0.7+1149.5+2.1+129.3</f>
        <v>4593.100000000001</v>
      </c>
      <c r="E98" s="119">
        <f>D98/D97*100</f>
        <v>16.502649779933538</v>
      </c>
      <c r="F98" s="120">
        <f t="shared" si="11"/>
        <v>78.81902735353677</v>
      </c>
      <c r="G98" s="121">
        <f>D98/C98*100</f>
        <v>28.046725205476115</v>
      </c>
      <c r="H98" s="122">
        <f t="shared" si="12"/>
        <v>1234.2999999999984</v>
      </c>
      <c r="I98" s="111">
        <f>C98-D98</f>
        <v>11783.5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42"/>
    </row>
    <row r="100" spans="1:10" ht="18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42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44"/>
      <c r="J101" s="142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40"/>
    </row>
    <row r="103" spans="1:10" ht="6.75" customHeight="1" hidden="1" thickBot="1">
      <c r="A103" s="145"/>
      <c r="B103" s="146"/>
      <c r="C103" s="53"/>
      <c r="D103" s="54"/>
      <c r="E103" s="12"/>
      <c r="F103" s="6"/>
      <c r="G103" s="6"/>
      <c r="H103" s="48"/>
      <c r="I103" s="144"/>
      <c r="J103" s="142"/>
    </row>
    <row r="104" spans="1:10" s="29" customFormat="1" ht="18" thickBot="1">
      <c r="A104" s="11" t="s">
        <v>9</v>
      </c>
      <c r="B104" s="82">
        <f>22511.2+15.1-20+7.6-100</f>
        <v>22413.899999999998</v>
      </c>
      <c r="C104" s="65">
        <f>73778+7.6+15.1-60.1+7.6</f>
        <v>73748.20000000001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152.2+12.4+164.7+14+1585.4+13.1+10.2+18+148.6+2141.8+73.9+131.3+1879.3+351.3+97.1+16.6+48.3+0.1+592.9+250.5+1840.9+85.4+148.3-0.2+534.2+1861+58.9+713.5+44.9+41.8+28.7+0.2+244.7+2133+95.9+222.1+227.2+5.1+12.2+1874.9+12+212.4+688.5+49.9</f>
        <v>18837.200000000004</v>
      </c>
      <c r="E104" s="16">
        <f>D104/D156*100</f>
        <v>2.5715830038104084</v>
      </c>
      <c r="F104" s="16">
        <f>D104/B104*100</f>
        <v>84.042491489656</v>
      </c>
      <c r="G104" s="16">
        <f aca="true" t="shared" si="13" ref="G104:G154">D104/C104*100</f>
        <v>25.54258951404916</v>
      </c>
      <c r="H104" s="61">
        <f aca="true" t="shared" si="14" ref="H104:H154">B104-D104</f>
        <v>3576.6999999999935</v>
      </c>
      <c r="I104" s="61">
        <f aca="true" t="shared" si="15" ref="I104:I154">C104-D104</f>
        <v>54911.00000000001</v>
      </c>
      <c r="J104" s="84"/>
    </row>
    <row r="105" spans="1:9" s="142" customFormat="1" ht="18.75" customHeight="1">
      <c r="A105" s="90" t="s">
        <v>3</v>
      </c>
      <c r="B105" s="104">
        <v>108.7</v>
      </c>
      <c r="C105" s="105">
        <v>543.6</v>
      </c>
      <c r="D105" s="105">
        <v>19.3</v>
      </c>
      <c r="E105" s="106">
        <f>D105/D104*100</f>
        <v>0.10245684071942751</v>
      </c>
      <c r="F105" s="94">
        <f>D105/B105*100</f>
        <v>17.75528978840846</v>
      </c>
      <c r="G105" s="106">
        <f>D105/C105*100</f>
        <v>3.550404709345107</v>
      </c>
      <c r="H105" s="105">
        <f t="shared" si="14"/>
        <v>89.4</v>
      </c>
      <c r="I105" s="105">
        <f t="shared" si="15"/>
        <v>524.3000000000001</v>
      </c>
    </row>
    <row r="106" spans="1:9" s="142" customFormat="1" ht="17.25">
      <c r="A106" s="107" t="s">
        <v>46</v>
      </c>
      <c r="B106" s="91">
        <f>20095.2+15.1-20+7.6</f>
        <v>20097.899999999998</v>
      </c>
      <c r="C106" s="92">
        <f>65554.9+7.6+15.1-60.1+45.6-3</f>
        <v>65560.1</v>
      </c>
      <c r="D106" s="92">
        <f>152.1+12.4+164.7+14+1585.4+8+18+148.5+2111.8+73.9+131.3+1879.3+114.9+217.3+66.2+14+0.1+582.9+250.5+1833.3+55+120.2+529.4+1861+47.8+713.5+1.8+35.2+244.7+2133+95.9+222+164.6+40.2+5.1+1855.8+12+212.4+439.1+30.6</f>
        <v>18197.9</v>
      </c>
      <c r="E106" s="94">
        <f>D106/D104*100</f>
        <v>96.60618350922641</v>
      </c>
      <c r="F106" s="94">
        <f aca="true" t="shared" si="16" ref="F106:F154">D106/B106*100</f>
        <v>90.54627597908241</v>
      </c>
      <c r="G106" s="94">
        <f t="shared" si="13"/>
        <v>27.757584262379098</v>
      </c>
      <c r="H106" s="92">
        <f t="shared" si="14"/>
        <v>1899.9999999999964</v>
      </c>
      <c r="I106" s="92">
        <f t="shared" si="15"/>
        <v>47362.200000000004</v>
      </c>
    </row>
    <row r="107" spans="1:9" s="142" customFormat="1" ht="52.5" hidden="1" thickBot="1">
      <c r="A107" s="108" t="s">
        <v>77</v>
      </c>
      <c r="B107" s="109"/>
      <c r="C107" s="109"/>
      <c r="D107" s="109"/>
      <c r="E107" s="110">
        <f>D107/D104*100</f>
        <v>0</v>
      </c>
      <c r="F107" s="110" t="e">
        <f>D107/B107*100</f>
        <v>#DIV/0!</v>
      </c>
      <c r="G107" s="110" t="e">
        <f>D107/C107*100</f>
        <v>#DIV/0!</v>
      </c>
      <c r="H107" s="111">
        <f t="shared" si="14"/>
        <v>0</v>
      </c>
      <c r="I107" s="111">
        <f>C107-D107</f>
        <v>0</v>
      </c>
    </row>
    <row r="108" spans="1:9" s="142" customFormat="1" ht="18" thickBot="1">
      <c r="A108" s="108" t="s">
        <v>25</v>
      </c>
      <c r="B108" s="109">
        <f>B104-B105-B106</f>
        <v>2207.2999999999993</v>
      </c>
      <c r="C108" s="109">
        <f>C104-C105-C106</f>
        <v>7644.5</v>
      </c>
      <c r="D108" s="109">
        <f>D104-D105-D106</f>
        <v>620.0000000000036</v>
      </c>
      <c r="E108" s="110">
        <f>D108/D104*100</f>
        <v>3.291359650054167</v>
      </c>
      <c r="F108" s="110">
        <f t="shared" si="16"/>
        <v>28.088615050061332</v>
      </c>
      <c r="G108" s="110">
        <f t="shared" si="13"/>
        <v>8.11040617437378</v>
      </c>
      <c r="H108" s="111">
        <f t="shared" si="14"/>
        <v>1587.2999999999956</v>
      </c>
      <c r="I108" s="111">
        <f t="shared" si="15"/>
        <v>7024.499999999996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168856.60000000003</v>
      </c>
      <c r="C109" s="63">
        <f>SUM(C110:C153)-C117-C122+C154-C144-C145-C111-C114-C125-C126-C142-C135-C133-C140-C120</f>
        <v>647427.4</v>
      </c>
      <c r="D109" s="63">
        <f>SUM(D110:D153)-D117-D122+D154-D144-D145-D111-D114-D125-D126-D142-D135-D133-D140-D120</f>
        <v>156294.98516999997</v>
      </c>
      <c r="E109" s="64">
        <f>D109/D156*100</f>
        <v>21.336797796061607</v>
      </c>
      <c r="F109" s="64">
        <f>D109/B109*100</f>
        <v>92.5607794838934</v>
      </c>
      <c r="G109" s="64">
        <f t="shared" si="13"/>
        <v>24.140928414521838</v>
      </c>
      <c r="H109" s="63">
        <f t="shared" si="14"/>
        <v>12561.614830000064</v>
      </c>
      <c r="I109" s="63">
        <f t="shared" si="15"/>
        <v>491132.41483</v>
      </c>
      <c r="J109" s="100"/>
    </row>
    <row r="110" spans="1:9" s="142" customFormat="1" ht="34.5">
      <c r="A110" s="85" t="s">
        <v>50</v>
      </c>
      <c r="B110" s="150">
        <v>1816.7</v>
      </c>
      <c r="C110" s="135">
        <v>4983.7</v>
      </c>
      <c r="D110" s="86">
        <f>1.8+140.5+138.5+0.9+33+80.9+13.3+0.1+53.3+109+1.4+124.9+19.8+24.9+9+3.6+91.3+61.8+18.7+59+14.7+34.7+0.1+2.2+3.8+2.1</f>
        <v>1043.2999999999997</v>
      </c>
      <c r="E110" s="87">
        <f>D110/D109*100</f>
        <v>0.6675198176481583</v>
      </c>
      <c r="F110" s="87">
        <f t="shared" si="16"/>
        <v>57.42830406781525</v>
      </c>
      <c r="G110" s="87">
        <f t="shared" si="13"/>
        <v>20.93424564078897</v>
      </c>
      <c r="H110" s="88">
        <f t="shared" si="14"/>
        <v>773.4000000000003</v>
      </c>
      <c r="I110" s="88">
        <f t="shared" si="15"/>
        <v>3940.4</v>
      </c>
    </row>
    <row r="111" spans="1:9" s="142" customFormat="1" ht="17.25">
      <c r="A111" s="90" t="s">
        <v>23</v>
      </c>
      <c r="B111" s="91">
        <v>965.2</v>
      </c>
      <c r="C111" s="92">
        <v>2332.2</v>
      </c>
      <c r="D111" s="93">
        <f>2.4+138.5+0.9+33.1+80.9+53.3+1.8+1.1+124.9+24.9+6.2+38.5+59+14.7</f>
        <v>580.2</v>
      </c>
      <c r="E111" s="94">
        <f>D111/D110*100</f>
        <v>55.61200038339885</v>
      </c>
      <c r="F111" s="94">
        <f t="shared" si="16"/>
        <v>60.11189390799835</v>
      </c>
      <c r="G111" s="94">
        <f t="shared" si="13"/>
        <v>24.87779778749679</v>
      </c>
      <c r="H111" s="92">
        <f t="shared" si="14"/>
        <v>385</v>
      </c>
      <c r="I111" s="92">
        <f t="shared" si="15"/>
        <v>1751.9999999999998</v>
      </c>
    </row>
    <row r="112" spans="1:9" s="142" customFormat="1" ht="34.5" customHeight="1" hidden="1">
      <c r="A112" s="95" t="s">
        <v>76</v>
      </c>
      <c r="B112" s="137"/>
      <c r="C112" s="88"/>
      <c r="D112" s="86"/>
      <c r="E112" s="87">
        <f>D112/D109*100</f>
        <v>0</v>
      </c>
      <c r="F112" s="87" t="e">
        <f>D112/B112*100</f>
        <v>#DIV/0!</v>
      </c>
      <c r="G112" s="87" t="e">
        <f t="shared" si="13"/>
        <v>#DIV/0!</v>
      </c>
      <c r="H112" s="88">
        <f t="shared" si="14"/>
        <v>0</v>
      </c>
      <c r="I112" s="88">
        <f t="shared" si="15"/>
        <v>0</v>
      </c>
    </row>
    <row r="113" spans="1:9" s="84" customFormat="1" ht="34.5" customHeight="1">
      <c r="A113" s="95" t="s">
        <v>91</v>
      </c>
      <c r="B113" s="138">
        <v>0</v>
      </c>
      <c r="C113" s="96">
        <v>300</v>
      </c>
      <c r="D113" s="97"/>
      <c r="E113" s="87">
        <f>D113/D109*100</f>
        <v>0</v>
      </c>
      <c r="F113" s="87" t="e">
        <f t="shared" si="16"/>
        <v>#DIV/0!</v>
      </c>
      <c r="G113" s="87">
        <f t="shared" si="13"/>
        <v>0</v>
      </c>
      <c r="H113" s="88">
        <f t="shared" si="14"/>
        <v>0</v>
      </c>
      <c r="I113" s="88">
        <f t="shared" si="15"/>
        <v>300</v>
      </c>
    </row>
    <row r="114" spans="1:9" s="142" customFormat="1" ht="18.75" customHeight="1" hidden="1">
      <c r="A114" s="90" t="s">
        <v>23</v>
      </c>
      <c r="B114" s="136"/>
      <c r="C114" s="92"/>
      <c r="D114" s="93"/>
      <c r="E114" s="94"/>
      <c r="F114" s="94" t="e">
        <f t="shared" si="16"/>
        <v>#DIV/0!</v>
      </c>
      <c r="G114" s="94" t="e">
        <f t="shared" si="13"/>
        <v>#DIV/0!</v>
      </c>
      <c r="H114" s="92">
        <f t="shared" si="14"/>
        <v>0</v>
      </c>
      <c r="I114" s="92">
        <f t="shared" si="15"/>
        <v>0</v>
      </c>
    </row>
    <row r="115" spans="1:9" s="142" customFormat="1" ht="18.75" customHeight="1" hidden="1">
      <c r="A115" s="95" t="s">
        <v>87</v>
      </c>
      <c r="B115" s="138"/>
      <c r="C115" s="88"/>
      <c r="D115" s="86"/>
      <c r="E115" s="87">
        <f>D115/D109*100</f>
        <v>0</v>
      </c>
      <c r="F115" s="87" t="e">
        <f t="shared" si="16"/>
        <v>#DIV/0!</v>
      </c>
      <c r="G115" s="87" t="e">
        <f t="shared" si="13"/>
        <v>#DIV/0!</v>
      </c>
      <c r="H115" s="88">
        <f t="shared" si="14"/>
        <v>0</v>
      </c>
      <c r="I115" s="88">
        <f t="shared" si="15"/>
        <v>0</v>
      </c>
    </row>
    <row r="116" spans="1:9" s="142" customFormat="1" ht="34.5">
      <c r="A116" s="95" t="s">
        <v>36</v>
      </c>
      <c r="B116" s="138">
        <v>2055.9</v>
      </c>
      <c r="C116" s="88">
        <v>5785.2</v>
      </c>
      <c r="D116" s="86">
        <f>187.7+10.4+531.5+38.4+44.9+0.1+53.3+13.7+14.6+4.3+409.7+22.6+33.2+12.9+10.1+431</f>
        <v>1818.3999999999999</v>
      </c>
      <c r="E116" s="87">
        <f>D116/D109*100</f>
        <v>1.1634410394051675</v>
      </c>
      <c r="F116" s="87">
        <f t="shared" si="16"/>
        <v>88.44788170630866</v>
      </c>
      <c r="G116" s="87">
        <f t="shared" si="13"/>
        <v>31.4319297517804</v>
      </c>
      <c r="H116" s="88">
        <f t="shared" si="14"/>
        <v>237.50000000000023</v>
      </c>
      <c r="I116" s="88">
        <f t="shared" si="15"/>
        <v>3966.8</v>
      </c>
    </row>
    <row r="117" spans="1:9" s="142" customFormat="1" ht="17.25" hidden="1">
      <c r="A117" s="98" t="s">
        <v>41</v>
      </c>
      <c r="B117" s="91"/>
      <c r="C117" s="92"/>
      <c r="D117" s="93"/>
      <c r="E117" s="87"/>
      <c r="F117" s="87" t="e">
        <f t="shared" si="16"/>
        <v>#DIV/0!</v>
      </c>
      <c r="G117" s="94" t="e">
        <f t="shared" si="13"/>
        <v>#DIV/0!</v>
      </c>
      <c r="H117" s="92">
        <f t="shared" si="14"/>
        <v>0</v>
      </c>
      <c r="I117" s="92">
        <f t="shared" si="15"/>
        <v>0</v>
      </c>
    </row>
    <row r="118" spans="1:9" s="84" customFormat="1" ht="18.75" customHeight="1" hidden="1">
      <c r="A118" s="95" t="s">
        <v>88</v>
      </c>
      <c r="B118" s="138"/>
      <c r="C118" s="96"/>
      <c r="D118" s="97"/>
      <c r="E118" s="99">
        <f>D118/D109*100</f>
        <v>0</v>
      </c>
      <c r="F118" s="87" t="e">
        <f t="shared" si="16"/>
        <v>#DIV/0!</v>
      </c>
      <c r="G118" s="99" t="e">
        <f t="shared" si="13"/>
        <v>#DIV/0!</v>
      </c>
      <c r="H118" s="96">
        <f t="shared" si="14"/>
        <v>0</v>
      </c>
      <c r="I118" s="96">
        <f t="shared" si="15"/>
        <v>0</v>
      </c>
    </row>
    <row r="119" spans="1:9" s="142" customFormat="1" ht="34.5" hidden="1">
      <c r="A119" s="95" t="s">
        <v>45</v>
      </c>
      <c r="B119" s="138"/>
      <c r="C119" s="88"/>
      <c r="D119" s="86"/>
      <c r="E119" s="87">
        <f>D119/D109*100</f>
        <v>0</v>
      </c>
      <c r="F119" s="87" t="e">
        <f>D119/B119*100</f>
        <v>#DIV/0!</v>
      </c>
      <c r="G119" s="87" t="e">
        <f t="shared" si="13"/>
        <v>#DIV/0!</v>
      </c>
      <c r="H119" s="88">
        <f t="shared" si="14"/>
        <v>0</v>
      </c>
      <c r="I119" s="88">
        <f t="shared" si="15"/>
        <v>0</v>
      </c>
    </row>
    <row r="120" spans="1:9" s="142" customFormat="1" ht="17.25" hidden="1">
      <c r="A120" s="98" t="s">
        <v>86</v>
      </c>
      <c r="B120" s="91"/>
      <c r="C120" s="92"/>
      <c r="D120" s="93"/>
      <c r="E120" s="94" t="e">
        <f>D120/D119*100</f>
        <v>#DIV/0!</v>
      </c>
      <c r="F120" s="94" t="e">
        <f>D120/B120*100</f>
        <v>#DIV/0!</v>
      </c>
      <c r="G120" s="94" t="e">
        <f>D120/C120*100</f>
        <v>#DIV/0!</v>
      </c>
      <c r="H120" s="92">
        <f>B120-D120</f>
        <v>0</v>
      </c>
      <c r="I120" s="92">
        <f>C120-D120</f>
        <v>0</v>
      </c>
    </row>
    <row r="121" spans="1:9" s="100" customFormat="1" ht="17.25">
      <c r="A121" s="95" t="s">
        <v>13</v>
      </c>
      <c r="B121" s="138">
        <v>405.7</v>
      </c>
      <c r="C121" s="96">
        <v>1024.8</v>
      </c>
      <c r="D121" s="86">
        <f>80.5+0.2+38.8+80.5+0.8+10+10.3+80.5+16.8+0.3+4+80.5</f>
        <v>403.20000000000005</v>
      </c>
      <c r="E121" s="87">
        <f>D121/D109*100</f>
        <v>0.25797372805112384</v>
      </c>
      <c r="F121" s="87">
        <f t="shared" si="16"/>
        <v>99.38378111905351</v>
      </c>
      <c r="G121" s="87">
        <f t="shared" si="13"/>
        <v>39.344262295081975</v>
      </c>
      <c r="H121" s="88">
        <f t="shared" si="14"/>
        <v>2.499999999999943</v>
      </c>
      <c r="I121" s="88">
        <f t="shared" si="15"/>
        <v>621.5999999999999</v>
      </c>
    </row>
    <row r="122" spans="1:9" s="101" customFormat="1" ht="17.25">
      <c r="A122" s="98" t="s">
        <v>41</v>
      </c>
      <c r="B122" s="91">
        <v>322.1</v>
      </c>
      <c r="C122" s="92">
        <v>724.7</v>
      </c>
      <c r="D122" s="93">
        <f>80.5+80.5+80.5+80.5</f>
        <v>322</v>
      </c>
      <c r="E122" s="94">
        <f>D122/D121*100</f>
        <v>79.8611111111111</v>
      </c>
      <c r="F122" s="94">
        <f t="shared" si="16"/>
        <v>99.9689537410742</v>
      </c>
      <c r="G122" s="94">
        <f t="shared" si="13"/>
        <v>44.43217883262039</v>
      </c>
      <c r="H122" s="92">
        <f t="shared" si="14"/>
        <v>0.10000000000002274</v>
      </c>
      <c r="I122" s="92">
        <f t="shared" si="15"/>
        <v>402.70000000000005</v>
      </c>
    </row>
    <row r="123" spans="1:9" s="100" customFormat="1" ht="17.25">
      <c r="A123" s="95" t="s">
        <v>102</v>
      </c>
      <c r="B123" s="138">
        <v>80</v>
      </c>
      <c r="C123" s="96">
        <v>347</v>
      </c>
      <c r="D123" s="86">
        <f>34.5+13.8</f>
        <v>48.3</v>
      </c>
      <c r="E123" s="87">
        <f>D123/D109*100</f>
        <v>0.030903102839457536</v>
      </c>
      <c r="F123" s="87">
        <f t="shared" si="16"/>
        <v>60.375</v>
      </c>
      <c r="G123" s="87">
        <f t="shared" si="13"/>
        <v>13.919308357348703</v>
      </c>
      <c r="H123" s="88">
        <f t="shared" si="14"/>
        <v>31.700000000000003</v>
      </c>
      <c r="I123" s="88">
        <f t="shared" si="15"/>
        <v>298.7</v>
      </c>
    </row>
    <row r="124" spans="1:9" s="100" customFormat="1" ht="21.75" customHeight="1">
      <c r="A124" s="95" t="s">
        <v>92</v>
      </c>
      <c r="B124" s="138">
        <v>0</v>
      </c>
      <c r="C124" s="96">
        <f>86+920</f>
        <v>1006</v>
      </c>
      <c r="D124" s="97"/>
      <c r="E124" s="99">
        <f>D124/D109*100</f>
        <v>0</v>
      </c>
      <c r="F124" s="87" t="e">
        <f t="shared" si="16"/>
        <v>#DIV/0!</v>
      </c>
      <c r="G124" s="87">
        <f t="shared" si="13"/>
        <v>0</v>
      </c>
      <c r="H124" s="88">
        <f t="shared" si="14"/>
        <v>0</v>
      </c>
      <c r="I124" s="88">
        <f t="shared" si="15"/>
        <v>1006</v>
      </c>
    </row>
    <row r="125" spans="1:9" s="102" customFormat="1" ht="17.25" hidden="1">
      <c r="A125" s="90" t="s">
        <v>78</v>
      </c>
      <c r="B125" s="91"/>
      <c r="C125" s="92"/>
      <c r="D125" s="93"/>
      <c r="E125" s="87"/>
      <c r="F125" s="94" t="e">
        <f>D125/B125*100</f>
        <v>#DIV/0!</v>
      </c>
      <c r="G125" s="94" t="e">
        <f t="shared" si="13"/>
        <v>#DIV/0!</v>
      </c>
      <c r="H125" s="92">
        <f t="shared" si="14"/>
        <v>0</v>
      </c>
      <c r="I125" s="92">
        <f t="shared" si="15"/>
        <v>0</v>
      </c>
    </row>
    <row r="126" spans="1:9" s="102" customFormat="1" ht="17.25" hidden="1">
      <c r="A126" s="90" t="s">
        <v>47</v>
      </c>
      <c r="B126" s="91"/>
      <c r="C126" s="92"/>
      <c r="D126" s="93"/>
      <c r="E126" s="87"/>
      <c r="F126" s="94" t="e">
        <f>D126/B126*100</f>
        <v>#DIV/0!</v>
      </c>
      <c r="G126" s="94" t="e">
        <f t="shared" si="13"/>
        <v>#DIV/0!</v>
      </c>
      <c r="H126" s="92">
        <f t="shared" si="14"/>
        <v>0</v>
      </c>
      <c r="I126" s="92">
        <f t="shared" si="15"/>
        <v>0</v>
      </c>
    </row>
    <row r="127" spans="1:9" s="100" customFormat="1" ht="34.5">
      <c r="A127" s="95" t="s">
        <v>93</v>
      </c>
      <c r="B127" s="138">
        <v>8106.2</v>
      </c>
      <c r="C127" s="96">
        <f>6156.2+17413.4</f>
        <v>23569.600000000002</v>
      </c>
      <c r="D127" s="97">
        <f>871.9+408.1+585.9+900.5+901.8+879.7+893+994.8+887.7</f>
        <v>7323.4</v>
      </c>
      <c r="E127" s="99">
        <f>D127/D109*100</f>
        <v>4.685626984150794</v>
      </c>
      <c r="F127" s="87">
        <f t="shared" si="16"/>
        <v>90.34319409834447</v>
      </c>
      <c r="G127" s="87">
        <f t="shared" si="13"/>
        <v>31.07138008281854</v>
      </c>
      <c r="H127" s="88">
        <f t="shared" si="14"/>
        <v>782.8000000000002</v>
      </c>
      <c r="I127" s="88">
        <f t="shared" si="15"/>
        <v>16246.200000000003</v>
      </c>
    </row>
    <row r="128" spans="1:9" s="100" customFormat="1" ht="17.25" hidden="1">
      <c r="A128" s="95" t="s">
        <v>89</v>
      </c>
      <c r="B128" s="138"/>
      <c r="C128" s="96"/>
      <c r="D128" s="97"/>
      <c r="E128" s="99">
        <f>D128/D109*100</f>
        <v>0</v>
      </c>
      <c r="F128" s="87" t="e">
        <f t="shared" si="16"/>
        <v>#DIV/0!</v>
      </c>
      <c r="G128" s="87" t="e">
        <f t="shared" si="13"/>
        <v>#DIV/0!</v>
      </c>
      <c r="H128" s="88">
        <f t="shared" si="14"/>
        <v>0</v>
      </c>
      <c r="I128" s="88">
        <f t="shared" si="15"/>
        <v>0</v>
      </c>
    </row>
    <row r="129" spans="1:13" s="100" customFormat="1" ht="34.5">
      <c r="A129" s="95" t="s">
        <v>98</v>
      </c>
      <c r="B129" s="138">
        <v>279</v>
      </c>
      <c r="C129" s="96">
        <v>483</v>
      </c>
      <c r="D129" s="97">
        <v>2.2</v>
      </c>
      <c r="E129" s="99">
        <f>D129/D109*100</f>
        <v>0.0014075947463106954</v>
      </c>
      <c r="F129" s="87">
        <f t="shared" si="16"/>
        <v>0.7885304659498209</v>
      </c>
      <c r="G129" s="87">
        <f t="shared" si="13"/>
        <v>0.45548654244306425</v>
      </c>
      <c r="H129" s="88">
        <f t="shared" si="14"/>
        <v>276.8</v>
      </c>
      <c r="I129" s="88">
        <f t="shared" si="15"/>
        <v>480.8</v>
      </c>
      <c r="M129" s="89"/>
    </row>
    <row r="130" spans="1:13" s="100" customFormat="1" ht="34.5">
      <c r="A130" s="95" t="s">
        <v>83</v>
      </c>
      <c r="B130" s="138">
        <v>115.7</v>
      </c>
      <c r="C130" s="96">
        <v>154.3</v>
      </c>
      <c r="D130" s="97"/>
      <c r="E130" s="99">
        <f>D130/D109*100</f>
        <v>0</v>
      </c>
      <c r="F130" s="87">
        <f t="shared" si="16"/>
        <v>0</v>
      </c>
      <c r="G130" s="87">
        <f t="shared" si="13"/>
        <v>0</v>
      </c>
      <c r="H130" s="88">
        <f t="shared" si="14"/>
        <v>115.7</v>
      </c>
      <c r="I130" s="88">
        <f t="shared" si="15"/>
        <v>154.3</v>
      </c>
      <c r="M130" s="89"/>
    </row>
    <row r="131" spans="1:9" s="100" customFormat="1" ht="17.25" hidden="1">
      <c r="A131" s="98" t="s">
        <v>81</v>
      </c>
      <c r="B131" s="138"/>
      <c r="C131" s="96"/>
      <c r="D131" s="97"/>
      <c r="E131" s="99">
        <f>D131/D110*100</f>
        <v>0</v>
      </c>
      <c r="F131" s="87" t="e">
        <f t="shared" si="16"/>
        <v>#DIV/0!</v>
      </c>
      <c r="G131" s="87" t="e">
        <f t="shared" si="13"/>
        <v>#DIV/0!</v>
      </c>
      <c r="H131" s="88">
        <f t="shared" si="14"/>
        <v>0</v>
      </c>
      <c r="I131" s="88">
        <f t="shared" si="15"/>
        <v>0</v>
      </c>
    </row>
    <row r="132" spans="1:13" s="100" customFormat="1" ht="34.5">
      <c r="A132" s="95" t="s">
        <v>55</v>
      </c>
      <c r="B132" s="138">
        <f>263.3-97.7</f>
        <v>165.60000000000002</v>
      </c>
      <c r="C132" s="96">
        <v>1003.9</v>
      </c>
      <c r="D132" s="97">
        <f>7.7+12.9+2.8+0.3+0.9+48+9.2+16+18.7+7+7.7+1.3+0.4+12+8.8</f>
        <v>153.70000000000002</v>
      </c>
      <c r="E132" s="99">
        <f>D132/D109*100</f>
        <v>0.09833968750361541</v>
      </c>
      <c r="F132" s="87">
        <f t="shared" si="16"/>
        <v>92.81400966183575</v>
      </c>
      <c r="G132" s="87">
        <f t="shared" si="13"/>
        <v>15.310289869508917</v>
      </c>
      <c r="H132" s="88">
        <f t="shared" si="14"/>
        <v>11.900000000000006</v>
      </c>
      <c r="I132" s="88">
        <f t="shared" si="15"/>
        <v>850.1999999999999</v>
      </c>
      <c r="M132" s="89"/>
    </row>
    <row r="133" spans="1:13" s="101" customFormat="1" ht="17.25">
      <c r="A133" s="90" t="s">
        <v>86</v>
      </c>
      <c r="B133" s="91">
        <v>90.4</v>
      </c>
      <c r="C133" s="92">
        <v>553.3</v>
      </c>
      <c r="D133" s="93">
        <f>7.7+48+7.7+7.7</f>
        <v>71.10000000000001</v>
      </c>
      <c r="E133" s="94">
        <f>D133/D132*100</f>
        <v>46.25894599869876</v>
      </c>
      <c r="F133" s="94">
        <f>D133/B133*100</f>
        <v>78.65044247787611</v>
      </c>
      <c r="G133" s="94">
        <f t="shared" si="13"/>
        <v>12.850171697090188</v>
      </c>
      <c r="H133" s="92">
        <f t="shared" si="14"/>
        <v>19.299999999999997</v>
      </c>
      <c r="I133" s="92">
        <f t="shared" si="15"/>
        <v>482.19999999999993</v>
      </c>
      <c r="M133" s="132"/>
    </row>
    <row r="134" spans="1:9" s="100" customFormat="1" ht="34.5">
      <c r="A134" s="95" t="s">
        <v>101</v>
      </c>
      <c r="B134" s="138">
        <v>0</v>
      </c>
      <c r="C134" s="96">
        <v>250</v>
      </c>
      <c r="D134" s="97"/>
      <c r="E134" s="99">
        <f>D134/D109*100</f>
        <v>0</v>
      </c>
      <c r="F134" s="87" t="e">
        <f t="shared" si="16"/>
        <v>#DIV/0!</v>
      </c>
      <c r="G134" s="87">
        <f t="shared" si="13"/>
        <v>0</v>
      </c>
      <c r="H134" s="88">
        <f t="shared" si="14"/>
        <v>0</v>
      </c>
      <c r="I134" s="88">
        <f t="shared" si="15"/>
        <v>250</v>
      </c>
    </row>
    <row r="135" spans="1:9" s="101" customFormat="1" ht="17.25" hidden="1">
      <c r="A135" s="98" t="s">
        <v>41</v>
      </c>
      <c r="B135" s="91"/>
      <c r="C135" s="92"/>
      <c r="D135" s="93"/>
      <c r="E135" s="94"/>
      <c r="F135" s="94" t="e">
        <f>D135/B135*100</f>
        <v>#DIV/0!</v>
      </c>
      <c r="G135" s="94" t="e">
        <f t="shared" si="13"/>
        <v>#DIV/0!</v>
      </c>
      <c r="H135" s="92">
        <f t="shared" si="14"/>
        <v>0</v>
      </c>
      <c r="I135" s="92">
        <f t="shared" si="15"/>
        <v>0</v>
      </c>
    </row>
    <row r="136" spans="1:9" s="100" customFormat="1" ht="35.25" customHeight="1" hidden="1">
      <c r="A136" s="95" t="s">
        <v>100</v>
      </c>
      <c r="B136" s="138"/>
      <c r="C136" s="96"/>
      <c r="D136" s="97"/>
      <c r="E136" s="99">
        <f>D136/D109*100</f>
        <v>0</v>
      </c>
      <c r="F136" s="87" t="e">
        <f t="shared" si="16"/>
        <v>#DIV/0!</v>
      </c>
      <c r="G136" s="87" t="e">
        <f t="shared" si="13"/>
        <v>#DIV/0!</v>
      </c>
      <c r="H136" s="88">
        <f t="shared" si="14"/>
        <v>0</v>
      </c>
      <c r="I136" s="88">
        <f>C136-D136</f>
        <v>0</v>
      </c>
    </row>
    <row r="137" spans="1:9" s="100" customFormat="1" ht="21.75" customHeight="1" hidden="1">
      <c r="A137" s="95" t="s">
        <v>99</v>
      </c>
      <c r="B137" s="138"/>
      <c r="C137" s="96"/>
      <c r="D137" s="97"/>
      <c r="E137" s="99">
        <f>D137/D109*100</f>
        <v>0</v>
      </c>
      <c r="F137" s="87" t="e">
        <f t="shared" si="16"/>
        <v>#DIV/0!</v>
      </c>
      <c r="G137" s="87" t="e">
        <f t="shared" si="13"/>
        <v>#DIV/0!</v>
      </c>
      <c r="H137" s="88">
        <f t="shared" si="14"/>
        <v>0</v>
      </c>
      <c r="I137" s="88">
        <f t="shared" si="15"/>
        <v>0</v>
      </c>
    </row>
    <row r="138" spans="1:9" s="100" customFormat="1" ht="35.25" customHeight="1">
      <c r="A138" s="95" t="s">
        <v>85</v>
      </c>
      <c r="B138" s="138">
        <v>988.4</v>
      </c>
      <c r="C138" s="96">
        <v>2964.5</v>
      </c>
      <c r="D138" s="97">
        <f>203+174+113.5+76.2</f>
        <v>566.7</v>
      </c>
      <c r="E138" s="99">
        <f>D138/D109*100</f>
        <v>0.36258361033375963</v>
      </c>
      <c r="F138" s="87">
        <f t="shared" si="16"/>
        <v>57.33508700930798</v>
      </c>
      <c r="G138" s="87">
        <f t="shared" si="13"/>
        <v>19.11620846685782</v>
      </c>
      <c r="H138" s="88">
        <f t="shared" si="14"/>
        <v>421.69999999999993</v>
      </c>
      <c r="I138" s="88">
        <f t="shared" si="15"/>
        <v>2397.8</v>
      </c>
    </row>
    <row r="139" spans="1:9" s="100" customFormat="1" ht="39" customHeight="1">
      <c r="A139" s="95" t="s">
        <v>52</v>
      </c>
      <c r="B139" s="138">
        <v>70</v>
      </c>
      <c r="C139" s="96">
        <v>350</v>
      </c>
      <c r="D139" s="97"/>
      <c r="E139" s="99">
        <f>D139/D109*100</f>
        <v>0</v>
      </c>
      <c r="F139" s="87">
        <f t="shared" si="16"/>
        <v>0</v>
      </c>
      <c r="G139" s="87">
        <f t="shared" si="13"/>
        <v>0</v>
      </c>
      <c r="H139" s="88">
        <f t="shared" si="14"/>
        <v>70</v>
      </c>
      <c r="I139" s="88">
        <f t="shared" si="15"/>
        <v>350</v>
      </c>
    </row>
    <row r="140" spans="1:9" s="101" customFormat="1" ht="17.25">
      <c r="A140" s="90" t="s">
        <v>86</v>
      </c>
      <c r="B140" s="91">
        <v>20</v>
      </c>
      <c r="C140" s="92">
        <v>110</v>
      </c>
      <c r="D140" s="93"/>
      <c r="E140" s="94"/>
      <c r="F140" s="87">
        <f>D140/B140*100</f>
        <v>0</v>
      </c>
      <c r="G140" s="94">
        <f>D140/C140*100</f>
        <v>0</v>
      </c>
      <c r="H140" s="92">
        <f>B140-D140</f>
        <v>20</v>
      </c>
      <c r="I140" s="92">
        <f>C140-D140</f>
        <v>110</v>
      </c>
    </row>
    <row r="141" spans="1:9" s="100" customFormat="1" ht="32.25" customHeight="1">
      <c r="A141" s="95" t="s">
        <v>82</v>
      </c>
      <c r="B141" s="138">
        <v>249.9</v>
      </c>
      <c r="C141" s="96">
        <v>642.9</v>
      </c>
      <c r="D141" s="97">
        <f>3.4+29.8+0.5+0.6+0.5+7+95+1+3.4+1.6</f>
        <v>142.8</v>
      </c>
      <c r="E141" s="99">
        <f>D141/D109*100</f>
        <v>0.0913656953514397</v>
      </c>
      <c r="F141" s="87">
        <f>D141/B141*100</f>
        <v>57.14285714285715</v>
      </c>
      <c r="G141" s="87">
        <f>D141/C141*100</f>
        <v>22.21185254316379</v>
      </c>
      <c r="H141" s="88">
        <f t="shared" si="14"/>
        <v>107.1</v>
      </c>
      <c r="I141" s="88">
        <f t="shared" si="15"/>
        <v>500.09999999999997</v>
      </c>
    </row>
    <row r="142" spans="1:9" s="101" customFormat="1" ht="17.25">
      <c r="A142" s="90" t="s">
        <v>23</v>
      </c>
      <c r="B142" s="91">
        <v>209.9</v>
      </c>
      <c r="C142" s="92">
        <v>524.9</v>
      </c>
      <c r="D142" s="93">
        <f>0.4+29.8+0.5+0.6+95+0.7</f>
        <v>127</v>
      </c>
      <c r="E142" s="94">
        <f>D142/D141*100</f>
        <v>88.93557422969187</v>
      </c>
      <c r="F142" s="94">
        <f t="shared" si="16"/>
        <v>60.5050023820867</v>
      </c>
      <c r="G142" s="94">
        <f>D142/C142*100</f>
        <v>24.195084778052962</v>
      </c>
      <c r="H142" s="92">
        <f t="shared" si="14"/>
        <v>82.9</v>
      </c>
      <c r="I142" s="92">
        <f t="shared" si="15"/>
        <v>397.9</v>
      </c>
    </row>
    <row r="143" spans="1:9" s="100" customFormat="1" ht="17.25">
      <c r="A143" s="95" t="s">
        <v>94</v>
      </c>
      <c r="B143" s="138">
        <v>719.3</v>
      </c>
      <c r="C143" s="96">
        <v>2262.8</v>
      </c>
      <c r="D143" s="97">
        <f>33.6+100.1+61.4+1.9+88.9+76.4+140.9+13.9+60.1+109.3</f>
        <v>686.4999999999999</v>
      </c>
      <c r="E143" s="99">
        <f>D143/D109*100</f>
        <v>0.43923354242831464</v>
      </c>
      <c r="F143" s="87">
        <f t="shared" si="16"/>
        <v>95.44001112192409</v>
      </c>
      <c r="G143" s="87">
        <f t="shared" si="13"/>
        <v>30.338518649460838</v>
      </c>
      <c r="H143" s="88">
        <f t="shared" si="14"/>
        <v>32.80000000000007</v>
      </c>
      <c r="I143" s="88">
        <f t="shared" si="15"/>
        <v>1576.3000000000002</v>
      </c>
    </row>
    <row r="144" spans="1:9" s="101" customFormat="1" ht="17.25">
      <c r="A144" s="98" t="s">
        <v>41</v>
      </c>
      <c r="B144" s="91">
        <v>543.5</v>
      </c>
      <c r="C144" s="92">
        <v>1867.4</v>
      </c>
      <c r="D144" s="93">
        <f>33.6+99.1+51.9+81.4+59+82.2+5.6+57.6+68.8</f>
        <v>539.2</v>
      </c>
      <c r="E144" s="94">
        <f>D144/D143*100</f>
        <v>78.54333576110707</v>
      </c>
      <c r="F144" s="94">
        <f t="shared" si="16"/>
        <v>99.20883164673414</v>
      </c>
      <c r="G144" s="94">
        <f t="shared" si="13"/>
        <v>28.874370782906716</v>
      </c>
      <c r="H144" s="92">
        <f t="shared" si="14"/>
        <v>4.2999999999999545</v>
      </c>
      <c r="I144" s="92">
        <f t="shared" si="15"/>
        <v>1328.2</v>
      </c>
    </row>
    <row r="145" spans="1:9" s="101" customFormat="1" ht="17.25">
      <c r="A145" s="90" t="s">
        <v>23</v>
      </c>
      <c r="B145" s="91">
        <v>27.3</v>
      </c>
      <c r="C145" s="92">
        <v>48</v>
      </c>
      <c r="D145" s="93">
        <f>9.3+7.4+6+0.1</f>
        <v>22.800000000000004</v>
      </c>
      <c r="E145" s="94">
        <f>D145/D143*100</f>
        <v>3.321194464675893</v>
      </c>
      <c r="F145" s="94">
        <f t="shared" si="16"/>
        <v>83.51648351648353</v>
      </c>
      <c r="G145" s="94">
        <f>D145/C145*100</f>
        <v>47.50000000000001</v>
      </c>
      <c r="H145" s="92">
        <f t="shared" si="14"/>
        <v>4.4999999999999964</v>
      </c>
      <c r="I145" s="92">
        <f t="shared" si="15"/>
        <v>25.199999999999996</v>
      </c>
    </row>
    <row r="146" spans="1:9" s="100" customFormat="1" ht="33.75" customHeight="1">
      <c r="A146" s="103" t="s">
        <v>54</v>
      </c>
      <c r="B146" s="138">
        <v>563</v>
      </c>
      <c r="C146" s="96">
        <v>961</v>
      </c>
      <c r="D146" s="97">
        <v>563</v>
      </c>
      <c r="E146" s="99">
        <f>D146/D109*100</f>
        <v>0.3602162918967825</v>
      </c>
      <c r="F146" s="87">
        <f t="shared" si="16"/>
        <v>100</v>
      </c>
      <c r="G146" s="87">
        <f t="shared" si="13"/>
        <v>58.58480749219564</v>
      </c>
      <c r="H146" s="88">
        <f t="shared" si="14"/>
        <v>0</v>
      </c>
      <c r="I146" s="88">
        <f t="shared" si="15"/>
        <v>398</v>
      </c>
    </row>
    <row r="147" spans="1:9" s="100" customFormat="1" ht="17.25" hidden="1">
      <c r="A147" s="103" t="s">
        <v>90</v>
      </c>
      <c r="B147" s="138"/>
      <c r="C147" s="96"/>
      <c r="D147" s="97"/>
      <c r="E147" s="99">
        <f>D147/D109*100</f>
        <v>0</v>
      </c>
      <c r="F147" s="87" t="e">
        <f>D147/B147*100</f>
        <v>#DIV/0!</v>
      </c>
      <c r="G147" s="87" t="e">
        <f t="shared" si="13"/>
        <v>#DIV/0!</v>
      </c>
      <c r="H147" s="88">
        <f t="shared" si="14"/>
        <v>0</v>
      </c>
      <c r="I147" s="88">
        <f t="shared" si="15"/>
        <v>0</v>
      </c>
    </row>
    <row r="148" spans="1:9" s="100" customFormat="1" ht="19.5" customHeight="1">
      <c r="A148" s="103" t="s">
        <v>95</v>
      </c>
      <c r="B148" s="138">
        <f>46218.6+3000-1991</f>
        <v>47227.6</v>
      </c>
      <c r="C148" s="96">
        <v>148561.8</v>
      </c>
      <c r="D148" s="97">
        <f>457.7+20.2+2395.4+103.8+376.7+1013.1+85.7+519.6+3989.1+192.1+9596.6+54.9+0.1+1136.8+45.8+142.4+633.4+904.4+5049.6+60.3+794.6+1729.3+2357+1916.4+610.8+432.8+777.3+690.7+110.8+5866.7+417</f>
        <v>42481.100000000006</v>
      </c>
      <c r="E148" s="99">
        <f>D148/D109*100</f>
        <v>27.18007871704513</v>
      </c>
      <c r="F148" s="87">
        <f t="shared" si="16"/>
        <v>89.94973278337245</v>
      </c>
      <c r="G148" s="87">
        <f t="shared" si="13"/>
        <v>28.594901246484632</v>
      </c>
      <c r="H148" s="88">
        <f t="shared" si="14"/>
        <v>4746.499999999993</v>
      </c>
      <c r="I148" s="88">
        <f t="shared" si="15"/>
        <v>106080.69999999998</v>
      </c>
    </row>
    <row r="149" spans="1:9" s="100" customFormat="1" ht="17.25" hidden="1">
      <c r="A149" s="103" t="s">
        <v>84</v>
      </c>
      <c r="B149" s="138"/>
      <c r="C149" s="96"/>
      <c r="D149" s="97"/>
      <c r="E149" s="99">
        <f>D149/D109*100</f>
        <v>0</v>
      </c>
      <c r="F149" s="87" t="e">
        <f t="shared" si="16"/>
        <v>#DIV/0!</v>
      </c>
      <c r="G149" s="87" t="e">
        <f t="shared" si="13"/>
        <v>#DIV/0!</v>
      </c>
      <c r="H149" s="88">
        <f t="shared" si="14"/>
        <v>0</v>
      </c>
      <c r="I149" s="88">
        <f t="shared" si="15"/>
        <v>0</v>
      </c>
    </row>
    <row r="150" spans="1:9" s="100" customFormat="1" ht="17.25">
      <c r="A150" s="103" t="s">
        <v>108</v>
      </c>
      <c r="B150" s="138">
        <v>18</v>
      </c>
      <c r="C150" s="96">
        <v>50</v>
      </c>
      <c r="D150" s="97">
        <f>1+0.7+0.3</f>
        <v>2</v>
      </c>
      <c r="E150" s="99">
        <f>D150/D111*100</f>
        <v>0.34470872113064455</v>
      </c>
      <c r="F150" s="87">
        <f>D150/B150*100</f>
        <v>11.11111111111111</v>
      </c>
      <c r="G150" s="87">
        <f>D150/C150*100</f>
        <v>4</v>
      </c>
      <c r="H150" s="88">
        <f>B150-D150</f>
        <v>16</v>
      </c>
      <c r="I150" s="88">
        <f>C150-D150</f>
        <v>48</v>
      </c>
    </row>
    <row r="151" spans="1:9" s="100" customFormat="1" ht="17.25">
      <c r="A151" s="95" t="s">
        <v>96</v>
      </c>
      <c r="B151" s="138">
        <v>29.5</v>
      </c>
      <c r="C151" s="96">
        <v>93.9</v>
      </c>
      <c r="D151" s="97">
        <f>29.5</f>
        <v>29.5</v>
      </c>
      <c r="E151" s="99">
        <f>D151/D109*100</f>
        <v>0.01887456591643887</v>
      </c>
      <c r="F151" s="87">
        <f t="shared" si="16"/>
        <v>100</v>
      </c>
      <c r="G151" s="87">
        <f t="shared" si="13"/>
        <v>31.416400425985085</v>
      </c>
      <c r="H151" s="88">
        <f t="shared" si="14"/>
        <v>0</v>
      </c>
      <c r="I151" s="88">
        <f t="shared" si="15"/>
        <v>64.4</v>
      </c>
    </row>
    <row r="152" spans="1:9" s="100" customFormat="1" ht="18" customHeight="1">
      <c r="A152" s="95" t="s">
        <v>75</v>
      </c>
      <c r="B152" s="138">
        <f>185.6+4770</f>
        <v>4955.6</v>
      </c>
      <c r="C152" s="96">
        <f>509.5+13731.5</f>
        <v>14241</v>
      </c>
      <c r="D152" s="97">
        <f>469.6+898.6+871.8+55+430.7+600.4</f>
        <v>3326.1</v>
      </c>
      <c r="E152" s="99">
        <f>D152/D109*100</f>
        <v>2.128091311683638</v>
      </c>
      <c r="F152" s="87">
        <f t="shared" si="16"/>
        <v>67.11800791024295</v>
      </c>
      <c r="G152" s="87">
        <f t="shared" si="13"/>
        <v>23.35580366547293</v>
      </c>
      <c r="H152" s="88">
        <f t="shared" si="14"/>
        <v>1629.5000000000005</v>
      </c>
      <c r="I152" s="88">
        <f t="shared" si="15"/>
        <v>10914.9</v>
      </c>
    </row>
    <row r="153" spans="1:9" s="100" customFormat="1" ht="19.5" customHeight="1">
      <c r="A153" s="95" t="s">
        <v>48</v>
      </c>
      <c r="B153" s="138">
        <f>70916.3+253+3208.6+2000+1991</f>
        <v>78368.90000000001</v>
      </c>
      <c r="C153" s="96">
        <f>365455.9+155.1+4856</f>
        <v>370467</v>
      </c>
      <c r="D153" s="97">
        <f>9702+30405.7+10266.3+91.6-29196.2+1482.1+9293.3+20631.5+2864.5+2072.8+10611.8+26.4-6447.8-3782.8-4677.3+4676.1-2746.7-2356.3-5820.8+6091.9+14434.9+3293.3-2161.9+2161.9+253+3208.6+2572.08517</f>
        <v>76949.98516999999</v>
      </c>
      <c r="E153" s="99">
        <f>D153/D109*100</f>
        <v>49.23381584271723</v>
      </c>
      <c r="F153" s="87">
        <f t="shared" si="16"/>
        <v>98.18944143659026</v>
      </c>
      <c r="G153" s="87">
        <f t="shared" si="13"/>
        <v>20.771076821957145</v>
      </c>
      <c r="H153" s="88">
        <f t="shared" si="14"/>
        <v>1418.9148300000234</v>
      </c>
      <c r="I153" s="88">
        <f>C153-D153</f>
        <v>293517.01483</v>
      </c>
    </row>
    <row r="154" spans="1:9" s="100" customFormat="1" ht="17.25">
      <c r="A154" s="95" t="s">
        <v>97</v>
      </c>
      <c r="B154" s="138">
        <v>22641.6</v>
      </c>
      <c r="C154" s="96">
        <v>67925</v>
      </c>
      <c r="D154" s="97">
        <f>1886.8+1886.8+1886.8+1886.8+1886.8+1886.8+1886.8+1886.8+1886.8+1886.8+1886.8</f>
        <v>20754.799999999996</v>
      </c>
      <c r="E154" s="99">
        <f>D154/D109*100</f>
        <v>13.279248836695098</v>
      </c>
      <c r="F154" s="87">
        <f t="shared" si="16"/>
        <v>91.66666666666666</v>
      </c>
      <c r="G154" s="87">
        <f t="shared" si="13"/>
        <v>30.555465587044527</v>
      </c>
      <c r="H154" s="88">
        <f t="shared" si="14"/>
        <v>1886.800000000003</v>
      </c>
      <c r="I154" s="88">
        <f t="shared" si="15"/>
        <v>47170.200000000004</v>
      </c>
    </row>
    <row r="155" spans="1:9" s="2" customFormat="1" ht="18" thickBot="1">
      <c r="A155" s="26" t="s">
        <v>27</v>
      </c>
      <c r="B155" s="139"/>
      <c r="C155" s="59"/>
      <c r="D155" s="40">
        <f>D43+D70+D74+D79+D81+D89+D104+D109+D102+D86+D100</f>
        <v>175577.08516999998</v>
      </c>
      <c r="E155" s="14"/>
      <c r="F155" s="14"/>
      <c r="G155" s="6"/>
      <c r="H155" s="48"/>
      <c r="I155" s="40"/>
    </row>
    <row r="156" spans="1:11" ht="18" thickBot="1">
      <c r="A156" s="11" t="s">
        <v>16</v>
      </c>
      <c r="B156" s="36">
        <f>B6+B18+B33+B43+B52+B60+B70+B74+B79+B81+B89+B92+B97+B104+B109+B102+B86+B100+B46</f>
        <v>809479.7000000001</v>
      </c>
      <c r="C156" s="36">
        <f>C6+C18+C33+C43+C52+C60+C70+C74+C79+C81+C89+C92+C97+C104+C109+C102+C86+C100+C46</f>
        <v>2507982.4000000004</v>
      </c>
      <c r="D156" s="36">
        <f>D6+D18+D33+D43+D52+D60+D70+D74+D79+D81+D89+D92+D97+D104+D109+D102+D86+D100+D46</f>
        <v>732513.7851699998</v>
      </c>
      <c r="E156" s="25">
        <v>100</v>
      </c>
      <c r="F156" s="3">
        <f>D156/B156*100</f>
        <v>90.49192773703896</v>
      </c>
      <c r="G156" s="3">
        <f aca="true" t="shared" si="17" ref="G156:G162">D156/C156*100</f>
        <v>29.207293686351214</v>
      </c>
      <c r="H156" s="36">
        <f>B156-D156</f>
        <v>76965.91483000026</v>
      </c>
      <c r="I156" s="36">
        <f aca="true" t="shared" si="18" ref="I156:I162">C156-D156</f>
        <v>1775468.6148300006</v>
      </c>
      <c r="K156" s="143">
        <f>D156-114199.9-202905.8-214631.3</f>
        <v>200776.7851699998</v>
      </c>
    </row>
    <row r="157" spans="1:9" ht="17.25">
      <c r="A157" s="15" t="s">
        <v>5</v>
      </c>
      <c r="B157" s="47">
        <f>B8+B20+B34+B53+B61+B93+B117+B122+B47+B144+B135+B105</f>
        <v>326256.60000000003</v>
      </c>
      <c r="C157" s="47">
        <f>C8+C20+C34+C53+C61+C93+C117+C122+C47+C144+C135+C105</f>
        <v>987214.6</v>
      </c>
      <c r="D157" s="47">
        <f>D8+D20+D34+D53+D61+D93+D117+D122+D47+D144+D135+D105</f>
        <v>314753.29999999993</v>
      </c>
      <c r="E157" s="6">
        <f>D157/D156*100</f>
        <v>42.96892514138186</v>
      </c>
      <c r="F157" s="6">
        <f aca="true" t="shared" si="19" ref="F157:F162">D157/B157*100</f>
        <v>96.47415561861428</v>
      </c>
      <c r="G157" s="6">
        <f t="shared" si="17"/>
        <v>31.88296647962864</v>
      </c>
      <c r="H157" s="48">
        <f aca="true" t="shared" si="20" ref="H157:H162">B157-D157</f>
        <v>11503.300000000105</v>
      </c>
      <c r="I157" s="58">
        <f t="shared" si="18"/>
        <v>672461.3</v>
      </c>
    </row>
    <row r="158" spans="1:9" ht="17.25">
      <c r="A158" s="15" t="s">
        <v>0</v>
      </c>
      <c r="B158" s="88">
        <f>B11+B23+B36+B56+B63+B94+B50+B145+B111+B114+B98+B142+B131</f>
        <v>69460.59999999999</v>
      </c>
      <c r="C158" s="88">
        <f>C11+C23+C36+C56+C63+C94+C50+C145+C111+C114+C98+C142+C131</f>
        <v>125178.8</v>
      </c>
      <c r="D158" s="88">
        <f>D11+D23+D36+D56+D63+D94+D50+D145+D111+D114+D98+D142+D131</f>
        <v>50063.39999999999</v>
      </c>
      <c r="E158" s="6">
        <f>D158/D156*100</f>
        <v>6.8344652364980965</v>
      </c>
      <c r="F158" s="6">
        <f t="shared" si="19"/>
        <v>72.07452858167075</v>
      </c>
      <c r="G158" s="6">
        <f t="shared" si="17"/>
        <v>39.993513278606265</v>
      </c>
      <c r="H158" s="48">
        <f>B158-D158</f>
        <v>19397.200000000004</v>
      </c>
      <c r="I158" s="58">
        <f t="shared" si="18"/>
        <v>75115.40000000002</v>
      </c>
    </row>
    <row r="159" spans="1:9" ht="17.25">
      <c r="A159" s="15" t="s">
        <v>1</v>
      </c>
      <c r="B159" s="149">
        <f>B22+B10+B55+B49+B62+B35+B126</f>
        <v>20599.7</v>
      </c>
      <c r="C159" s="149">
        <f>C22+C10+C55+C49+C62+C35+C126</f>
        <v>48385.3</v>
      </c>
      <c r="D159" s="149">
        <f>D22+D10+D55+D49+D62+D35+D126</f>
        <v>17478.7</v>
      </c>
      <c r="E159" s="6">
        <f>D159/D156*100</f>
        <v>2.3861257431412835</v>
      </c>
      <c r="F159" s="6">
        <f t="shared" si="19"/>
        <v>84.84929392175614</v>
      </c>
      <c r="G159" s="6">
        <f t="shared" si="17"/>
        <v>36.12398807075703</v>
      </c>
      <c r="H159" s="48">
        <f t="shared" si="20"/>
        <v>3121</v>
      </c>
      <c r="I159" s="58">
        <f t="shared" si="18"/>
        <v>30906.600000000002</v>
      </c>
    </row>
    <row r="160" spans="1:9" ht="21" customHeight="1">
      <c r="A160" s="15" t="s">
        <v>12</v>
      </c>
      <c r="B160" s="149">
        <f>B12+B24+B106+B64+B38+B95+B133+B57+B140+B120+B44+B73</f>
        <v>26606.000000000004</v>
      </c>
      <c r="C160" s="149">
        <f>C12+C24+C106+C64+C38+C95+C133+C57+C140+C120+C44+C73</f>
        <v>90004.20000000001</v>
      </c>
      <c r="D160" s="149">
        <f>D12+D24+D106+D64+D38+D95+D133+D57+D140+D120+D44+D73</f>
        <v>23002.800000000003</v>
      </c>
      <c r="E160" s="6">
        <f>D160/D156*100</f>
        <v>3.1402548956347047</v>
      </c>
      <c r="F160" s="6">
        <f>D160/B160*100</f>
        <v>86.45719010749455</v>
      </c>
      <c r="G160" s="6">
        <f t="shared" si="17"/>
        <v>25.557473984547386</v>
      </c>
      <c r="H160" s="48">
        <f>B160-D160</f>
        <v>3603.2000000000007</v>
      </c>
      <c r="I160" s="58">
        <f t="shared" si="18"/>
        <v>67001.40000000001</v>
      </c>
    </row>
    <row r="161" spans="1:9" ht="17.2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0.0049964929999926164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8" thickBot="1">
      <c r="A162" s="80" t="s">
        <v>25</v>
      </c>
      <c r="B162" s="60">
        <f>B156-B157-B158-B159-B160-B161</f>
        <v>366504.20000000007</v>
      </c>
      <c r="C162" s="60">
        <f>C156-C157-C158-C159-C160-C161</f>
        <v>1257076.6000000003</v>
      </c>
      <c r="D162" s="60">
        <f>D156-D157-D158-D159-D160-D161</f>
        <v>327178.98516999994</v>
      </c>
      <c r="E162" s="28">
        <f>D162/D156*100</f>
        <v>44.665232490344074</v>
      </c>
      <c r="F162" s="28">
        <f t="shared" si="19"/>
        <v>89.2701871274599</v>
      </c>
      <c r="G162" s="28">
        <f t="shared" si="17"/>
        <v>26.026972832840883</v>
      </c>
      <c r="H162" s="81">
        <f t="shared" si="20"/>
        <v>39325.21483000013</v>
      </c>
      <c r="I162" s="81">
        <f t="shared" si="18"/>
        <v>929897.6148300003</v>
      </c>
    </row>
    <row r="163" spans="7:8" ht="12.75">
      <c r="G163" s="147"/>
      <c r="H163" s="147"/>
    </row>
    <row r="164" spans="3:9" ht="12.75">
      <c r="C164" s="143"/>
      <c r="G164" s="147"/>
      <c r="H164" s="147"/>
      <c r="I164" s="147"/>
    </row>
    <row r="165" spans="4:8" ht="12.75">
      <c r="D165" s="143"/>
      <c r="G165" s="147"/>
      <c r="H165" s="147"/>
    </row>
    <row r="166" spans="7:8" ht="12.75">
      <c r="G166" s="147"/>
      <c r="H166" s="147"/>
    </row>
    <row r="167" spans="2:8" ht="12.75">
      <c r="B167" s="148"/>
      <c r="C167" s="148"/>
      <c r="D167" s="143"/>
      <c r="G167" s="147"/>
      <c r="H167" s="147"/>
    </row>
    <row r="168" spans="7:8" ht="12.75">
      <c r="G168" s="147"/>
      <c r="H168" s="147"/>
    </row>
    <row r="169" spans="2:8" ht="12.75">
      <c r="B169" s="148"/>
      <c r="C169" s="148"/>
      <c r="D169" s="148"/>
      <c r="G169" s="147"/>
      <c r="H169" s="147"/>
    </row>
    <row r="170" spans="2:8" ht="12.75">
      <c r="B170" s="148"/>
      <c r="G170" s="147"/>
      <c r="H170" s="147"/>
    </row>
    <row r="171" spans="2:8" ht="12.75">
      <c r="B171" s="148"/>
      <c r="C171" s="143"/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7:8" ht="12.75">
      <c r="G176" s="147"/>
      <c r="H176" s="147"/>
    </row>
    <row r="177" spans="3:8" ht="12.75">
      <c r="C177" s="143"/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  <row r="401" spans="7:8" ht="12.75">
      <c r="G401" s="147"/>
      <c r="H401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">
      <c r="A2" s="4"/>
      <c r="B2" s="4"/>
      <c r="C2" s="4"/>
      <c r="D2" s="4" t="s">
        <v>29</v>
      </c>
      <c r="E2" s="5">
        <f>'аналіз фінансування '!D156</f>
        <v>732513.7851699998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">
      <c r="A2" s="4"/>
      <c r="B2" s="4"/>
      <c r="C2" s="4"/>
      <c r="D2" s="4" t="s">
        <v>29</v>
      </c>
      <c r="E2" s="5">
        <f>'аналіз фінансування '!D156</f>
        <v>732513.7851699998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2019-04-24T14:19:16Z</cp:lastPrinted>
  <dcterms:created xsi:type="dcterms:W3CDTF">2000-06-20T04:48:00Z</dcterms:created>
  <dcterms:modified xsi:type="dcterms:W3CDTF">2019-04-26T09:16:19Z</dcterms:modified>
  <cp:category/>
  <cp:version/>
  <cp:contentType/>
  <cp:contentStatus/>
</cp:coreProperties>
</file>